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workbookProtection workbookPassword="D27F" lockStructure="1"/>
  <bookViews>
    <workbookView xWindow="7845" yWindow="-75" windowWidth="23100" windowHeight="12360"/>
  </bookViews>
  <sheets>
    <sheet name="инвентаризация" sheetId="1" r:id="rId1"/>
  </sheets>
  <definedNames>
    <definedName name="_xlnm.Print_Area" localSheetId="0">инвентаризация!$A$1:$K$1712</definedName>
  </definedNames>
  <calcPr calcId="145621"/>
</workbook>
</file>

<file path=xl/calcChain.xml><?xml version="1.0" encoding="utf-8"?>
<calcChain xmlns="http://schemas.openxmlformats.org/spreadsheetml/2006/main">
  <c r="G1686" i="1" l="1"/>
  <c r="F788" i="1"/>
  <c r="G788" i="1"/>
  <c r="E788" i="1"/>
  <c r="F805" i="1"/>
  <c r="G805" i="1"/>
  <c r="E805" i="1"/>
  <c r="F1360" i="1"/>
  <c r="G1360" i="1"/>
  <c r="F554" i="1"/>
  <c r="G554" i="1"/>
  <c r="E554" i="1"/>
  <c r="F692" i="1"/>
  <c r="G692" i="1"/>
  <c r="H664" i="1"/>
  <c r="I664" i="1" s="1"/>
  <c r="H629" i="1"/>
  <c r="I629" i="1" s="1"/>
  <c r="H628" i="1"/>
  <c r="I628" i="1" s="1"/>
  <c r="H626" i="1"/>
  <c r="I626" i="1" s="1"/>
  <c r="H660" i="1"/>
  <c r="I660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7" i="1"/>
  <c r="I647" i="1" s="1"/>
  <c r="H645" i="1"/>
  <c r="I645" i="1" s="1"/>
  <c r="H642" i="1"/>
  <c r="I642" i="1" s="1"/>
  <c r="H637" i="1"/>
  <c r="I637" i="1" s="1"/>
  <c r="H636" i="1"/>
  <c r="I636" i="1" s="1"/>
  <c r="H635" i="1"/>
  <c r="I635" i="1" s="1"/>
  <c r="H632" i="1"/>
  <c r="I632" i="1" s="1"/>
  <c r="H671" i="1"/>
  <c r="I671" i="1" s="1"/>
  <c r="H681" i="1"/>
  <c r="I681" i="1" s="1"/>
  <c r="E670" i="1"/>
  <c r="H670" i="1" s="1"/>
  <c r="I670" i="1" s="1"/>
  <c r="G1660" i="1"/>
  <c r="H1664" i="1"/>
  <c r="I1664" i="1" s="1"/>
  <c r="H1665" i="1"/>
  <c r="I1665" i="1" s="1"/>
  <c r="H1666" i="1"/>
  <c r="I1666" i="1" s="1"/>
  <c r="H1667" i="1"/>
  <c r="I1667" i="1" s="1"/>
  <c r="H1668" i="1"/>
  <c r="I1668" i="1" s="1"/>
  <c r="H1669" i="1"/>
  <c r="I1669" i="1" s="1"/>
  <c r="H1670" i="1"/>
  <c r="I1670" i="1" s="1"/>
  <c r="H1671" i="1"/>
  <c r="I1671" i="1" s="1"/>
  <c r="H1672" i="1"/>
  <c r="I1672" i="1" s="1"/>
  <c r="H1673" i="1"/>
  <c r="I1673" i="1" s="1"/>
  <c r="H1674" i="1"/>
  <c r="I1674" i="1" s="1"/>
  <c r="H1675" i="1"/>
  <c r="I1675" i="1" s="1"/>
  <c r="H1676" i="1"/>
  <c r="I1676" i="1" s="1"/>
  <c r="H1677" i="1"/>
  <c r="I1677" i="1" s="1"/>
  <c r="H1678" i="1"/>
  <c r="I1678" i="1" s="1"/>
  <c r="H1679" i="1"/>
  <c r="I1679" i="1" s="1"/>
  <c r="H1680" i="1"/>
  <c r="I1680" i="1" s="1"/>
  <c r="H1681" i="1"/>
  <c r="I1681" i="1" s="1"/>
  <c r="H1682" i="1"/>
  <c r="I1682" i="1" s="1"/>
  <c r="H1683" i="1"/>
  <c r="I1683" i="1" s="1"/>
  <c r="H1684" i="1"/>
  <c r="I1684" i="1" s="1"/>
  <c r="H1685" i="1"/>
  <c r="I1685" i="1" s="1"/>
  <c r="H1663" i="1"/>
  <c r="H1656" i="1"/>
  <c r="H1657" i="1"/>
  <c r="H1658" i="1"/>
  <c r="H1659" i="1"/>
  <c r="H1655" i="1"/>
  <c r="F156" i="1"/>
  <c r="F155" i="1"/>
  <c r="H1566" i="1"/>
  <c r="H1555" i="1"/>
  <c r="I1555" i="1" s="1"/>
  <c r="H669" i="1"/>
  <c r="I669" i="1" s="1"/>
  <c r="H691" i="1"/>
  <c r="I691" i="1" s="1"/>
  <c r="H685" i="1"/>
  <c r="I685" i="1" s="1"/>
  <c r="H684" i="1"/>
  <c r="I684" i="1" s="1"/>
  <c r="H680" i="1"/>
  <c r="I680" i="1" s="1"/>
  <c r="H677" i="1"/>
  <c r="I677" i="1" s="1"/>
  <c r="H673" i="1"/>
  <c r="I673" i="1" s="1"/>
  <c r="H672" i="1"/>
  <c r="I672" i="1" s="1"/>
  <c r="E692" i="1" l="1"/>
  <c r="H1660" i="1"/>
  <c r="I1660" i="1" s="1"/>
  <c r="H1686" i="1"/>
  <c r="I1686" i="1" s="1"/>
  <c r="I1663" i="1"/>
  <c r="H658" i="1" l="1"/>
  <c r="I658" i="1" s="1"/>
  <c r="I1566" i="1"/>
  <c r="G1566" i="1"/>
  <c r="F1566" i="1"/>
  <c r="E1566" i="1"/>
  <c r="K1564" i="1"/>
  <c r="J1564" i="1"/>
  <c r="K1563" i="1"/>
  <c r="J1563" i="1"/>
  <c r="K1562" i="1"/>
  <c r="J1562" i="1"/>
  <c r="K1561" i="1"/>
  <c r="J1561" i="1"/>
  <c r="H788" i="1"/>
  <c r="I787" i="1"/>
  <c r="I786" i="1"/>
  <c r="I785" i="1"/>
  <c r="I784" i="1"/>
  <c r="I783" i="1"/>
  <c r="I782" i="1"/>
  <c r="I781" i="1"/>
  <c r="I780" i="1"/>
  <c r="I779" i="1"/>
  <c r="I778" i="1"/>
  <c r="J1565" i="1" l="1"/>
  <c r="K1565" i="1"/>
  <c r="I788" i="1"/>
  <c r="F1371" i="1" l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08" i="1"/>
  <c r="I808" i="1" s="1"/>
  <c r="G891" i="1"/>
  <c r="F891" i="1"/>
  <c r="E891" i="1"/>
  <c r="H891" i="1" l="1"/>
  <c r="I891" i="1"/>
  <c r="E1295" i="1"/>
  <c r="E1293" i="1"/>
  <c r="H913" i="1"/>
  <c r="I913" i="1" s="1"/>
  <c r="H914" i="1"/>
  <c r="I914" i="1" s="1"/>
  <c r="H909" i="1"/>
  <c r="I909" i="1" s="1"/>
  <c r="H910" i="1"/>
  <c r="I910" i="1" s="1"/>
  <c r="E915" i="1"/>
  <c r="H1357" i="1"/>
  <c r="I1357" i="1" s="1"/>
  <c r="E1359" i="1"/>
  <c r="H894" i="1"/>
  <c r="I894" i="1" s="1"/>
  <c r="E1358" i="1"/>
  <c r="H947" i="1"/>
  <c r="I947" i="1" s="1"/>
  <c r="H912" i="1"/>
  <c r="I912" i="1" s="1"/>
  <c r="E908" i="1"/>
  <c r="H896" i="1"/>
  <c r="I896" i="1" s="1"/>
  <c r="H893" i="1"/>
  <c r="I893" i="1" s="1"/>
  <c r="H904" i="1"/>
  <c r="I904" i="1" s="1"/>
  <c r="H900" i="1"/>
  <c r="I900" i="1" s="1"/>
  <c r="H899" i="1"/>
  <c r="I899" i="1" s="1"/>
  <c r="H898" i="1"/>
  <c r="I898" i="1" s="1"/>
  <c r="H897" i="1"/>
  <c r="I897" i="1" s="1"/>
  <c r="H911" i="1"/>
  <c r="I911" i="1" s="1"/>
  <c r="H907" i="1"/>
  <c r="I907" i="1" s="1"/>
  <c r="H906" i="1"/>
  <c r="I906" i="1" s="1"/>
  <c r="H905" i="1"/>
  <c r="I905" i="1" s="1"/>
  <c r="H903" i="1"/>
  <c r="I903" i="1" s="1"/>
  <c r="H902" i="1"/>
  <c r="I902" i="1" s="1"/>
  <c r="H901" i="1"/>
  <c r="I901" i="1" s="1"/>
  <c r="H908" i="1" l="1"/>
  <c r="I908" i="1" s="1"/>
  <c r="E1360" i="1"/>
  <c r="H915" i="1"/>
  <c r="I915" i="1" s="1"/>
  <c r="H916" i="1"/>
  <c r="H917" i="1"/>
  <c r="I917" i="1" s="1"/>
  <c r="H918" i="1"/>
  <c r="I918" i="1" s="1"/>
  <c r="H919" i="1"/>
  <c r="H920" i="1"/>
  <c r="H921" i="1"/>
  <c r="I921" i="1" s="1"/>
  <c r="H922" i="1"/>
  <c r="I922" i="1" s="1"/>
  <c r="H923" i="1"/>
  <c r="H924" i="1"/>
  <c r="H925" i="1"/>
  <c r="I925" i="1" s="1"/>
  <c r="H926" i="1"/>
  <c r="I926" i="1" s="1"/>
  <c r="H927" i="1"/>
  <c r="H928" i="1"/>
  <c r="H929" i="1"/>
  <c r="H930" i="1"/>
  <c r="I930" i="1" s="1"/>
  <c r="H931" i="1"/>
  <c r="H932" i="1"/>
  <c r="H933" i="1"/>
  <c r="I933" i="1" s="1"/>
  <c r="H934" i="1"/>
  <c r="I934" i="1" s="1"/>
  <c r="H935" i="1"/>
  <c r="H936" i="1"/>
  <c r="H937" i="1"/>
  <c r="I937" i="1" s="1"/>
  <c r="H938" i="1"/>
  <c r="I938" i="1" s="1"/>
  <c r="H939" i="1"/>
  <c r="H940" i="1"/>
  <c r="H941" i="1"/>
  <c r="I941" i="1" s="1"/>
  <c r="H942" i="1"/>
  <c r="I942" i="1" s="1"/>
  <c r="H943" i="1"/>
  <c r="H944" i="1"/>
  <c r="H945" i="1"/>
  <c r="H946" i="1"/>
  <c r="I946" i="1" s="1"/>
  <c r="H948" i="1"/>
  <c r="H949" i="1"/>
  <c r="H950" i="1"/>
  <c r="I950" i="1" s="1"/>
  <c r="H951" i="1"/>
  <c r="I951" i="1" s="1"/>
  <c r="H952" i="1"/>
  <c r="H953" i="1"/>
  <c r="H954" i="1"/>
  <c r="I954" i="1" s="1"/>
  <c r="H955" i="1"/>
  <c r="I955" i="1" s="1"/>
  <c r="H956" i="1"/>
  <c r="H957" i="1"/>
  <c r="H958" i="1"/>
  <c r="I958" i="1" s="1"/>
  <c r="H959" i="1"/>
  <c r="I959" i="1" s="1"/>
  <c r="H960" i="1"/>
  <c r="H961" i="1"/>
  <c r="H962" i="1"/>
  <c r="H963" i="1"/>
  <c r="I963" i="1" s="1"/>
  <c r="H964" i="1"/>
  <c r="H965" i="1"/>
  <c r="H966" i="1"/>
  <c r="I966" i="1" s="1"/>
  <c r="H967" i="1"/>
  <c r="I967" i="1" s="1"/>
  <c r="H968" i="1"/>
  <c r="H969" i="1"/>
  <c r="H970" i="1"/>
  <c r="I970" i="1" s="1"/>
  <c r="H971" i="1"/>
  <c r="I971" i="1" s="1"/>
  <c r="H972" i="1"/>
  <c r="H973" i="1"/>
  <c r="H974" i="1"/>
  <c r="I974" i="1" s="1"/>
  <c r="H975" i="1"/>
  <c r="I975" i="1" s="1"/>
  <c r="H976" i="1"/>
  <c r="H977" i="1"/>
  <c r="H978" i="1"/>
  <c r="H979" i="1"/>
  <c r="I979" i="1" s="1"/>
  <c r="H980" i="1"/>
  <c r="H981" i="1"/>
  <c r="H982" i="1"/>
  <c r="I982" i="1" s="1"/>
  <c r="H983" i="1"/>
  <c r="I983" i="1" s="1"/>
  <c r="H984" i="1"/>
  <c r="H985" i="1"/>
  <c r="H986" i="1"/>
  <c r="I986" i="1" s="1"/>
  <c r="H987" i="1"/>
  <c r="I987" i="1" s="1"/>
  <c r="H988" i="1"/>
  <c r="H989" i="1"/>
  <c r="H990" i="1"/>
  <c r="I990" i="1" s="1"/>
  <c r="H991" i="1"/>
  <c r="I991" i="1" s="1"/>
  <c r="H992" i="1"/>
  <c r="H993" i="1"/>
  <c r="H994" i="1"/>
  <c r="H995" i="1"/>
  <c r="I995" i="1" s="1"/>
  <c r="H996" i="1"/>
  <c r="H997" i="1"/>
  <c r="H998" i="1"/>
  <c r="I998" i="1" s="1"/>
  <c r="H999" i="1"/>
  <c r="I999" i="1" s="1"/>
  <c r="H1000" i="1"/>
  <c r="H1001" i="1"/>
  <c r="H1002" i="1"/>
  <c r="I1002" i="1" s="1"/>
  <c r="H1003" i="1"/>
  <c r="I1003" i="1" s="1"/>
  <c r="H1004" i="1"/>
  <c r="H1005" i="1"/>
  <c r="H1006" i="1"/>
  <c r="I1006" i="1" s="1"/>
  <c r="H1007" i="1"/>
  <c r="I1007" i="1" s="1"/>
  <c r="H1008" i="1"/>
  <c r="H1009" i="1"/>
  <c r="H1010" i="1"/>
  <c r="H1011" i="1"/>
  <c r="I1011" i="1" s="1"/>
  <c r="H1012" i="1"/>
  <c r="H1013" i="1"/>
  <c r="H1014" i="1"/>
  <c r="I1014" i="1" s="1"/>
  <c r="H1015" i="1"/>
  <c r="I1015" i="1" s="1"/>
  <c r="H1016" i="1"/>
  <c r="H1017" i="1"/>
  <c r="H1018" i="1"/>
  <c r="I1018" i="1" s="1"/>
  <c r="H1019" i="1"/>
  <c r="I1019" i="1" s="1"/>
  <c r="H1020" i="1"/>
  <c r="H1021" i="1"/>
  <c r="H1022" i="1"/>
  <c r="I1022" i="1" s="1"/>
  <c r="H1023" i="1"/>
  <c r="I1023" i="1" s="1"/>
  <c r="H1024" i="1"/>
  <c r="H1025" i="1"/>
  <c r="H1026" i="1"/>
  <c r="H1027" i="1"/>
  <c r="I1027" i="1" s="1"/>
  <c r="H1028" i="1"/>
  <c r="H1029" i="1"/>
  <c r="H1030" i="1"/>
  <c r="I1030" i="1" s="1"/>
  <c r="H1031" i="1"/>
  <c r="I1031" i="1" s="1"/>
  <c r="H1032" i="1"/>
  <c r="H1033" i="1"/>
  <c r="H1034" i="1"/>
  <c r="I1034" i="1" s="1"/>
  <c r="H1035" i="1"/>
  <c r="I1035" i="1" s="1"/>
  <c r="H1036" i="1"/>
  <c r="H1037" i="1"/>
  <c r="H1038" i="1"/>
  <c r="I1038" i="1" s="1"/>
  <c r="H1039" i="1"/>
  <c r="I1039" i="1" s="1"/>
  <c r="H1040" i="1"/>
  <c r="H1041" i="1"/>
  <c r="H1042" i="1"/>
  <c r="H1043" i="1"/>
  <c r="I1043" i="1" s="1"/>
  <c r="H1044" i="1"/>
  <c r="H1045" i="1"/>
  <c r="H1046" i="1"/>
  <c r="I1046" i="1" s="1"/>
  <c r="H1047" i="1"/>
  <c r="I1047" i="1" s="1"/>
  <c r="H1048" i="1"/>
  <c r="H1049" i="1"/>
  <c r="H1050" i="1"/>
  <c r="I1050" i="1" s="1"/>
  <c r="H1051" i="1"/>
  <c r="I1051" i="1" s="1"/>
  <c r="H1052" i="1"/>
  <c r="H1053" i="1"/>
  <c r="H1054" i="1"/>
  <c r="I1054" i="1" s="1"/>
  <c r="H1055" i="1"/>
  <c r="I1055" i="1" s="1"/>
  <c r="H1056" i="1"/>
  <c r="H1057" i="1"/>
  <c r="H1058" i="1"/>
  <c r="H1059" i="1"/>
  <c r="I1059" i="1" s="1"/>
  <c r="H1060" i="1"/>
  <c r="H1061" i="1"/>
  <c r="H1062" i="1"/>
  <c r="I1062" i="1" s="1"/>
  <c r="H1063" i="1"/>
  <c r="I1063" i="1" s="1"/>
  <c r="H1064" i="1"/>
  <c r="H1065" i="1"/>
  <c r="H1066" i="1"/>
  <c r="I1066" i="1" s="1"/>
  <c r="H1067" i="1"/>
  <c r="I1067" i="1" s="1"/>
  <c r="H1068" i="1"/>
  <c r="H1069" i="1"/>
  <c r="H1070" i="1"/>
  <c r="I1070" i="1" s="1"/>
  <c r="H1071" i="1"/>
  <c r="I1071" i="1" s="1"/>
  <c r="H1072" i="1"/>
  <c r="H1073" i="1"/>
  <c r="H1074" i="1"/>
  <c r="H1075" i="1"/>
  <c r="I1075" i="1" s="1"/>
  <c r="H1076" i="1"/>
  <c r="H1077" i="1"/>
  <c r="H1078" i="1"/>
  <c r="I1078" i="1" s="1"/>
  <c r="H1079" i="1"/>
  <c r="I1079" i="1" s="1"/>
  <c r="H1080" i="1"/>
  <c r="H1081" i="1"/>
  <c r="H1082" i="1"/>
  <c r="I1082" i="1" s="1"/>
  <c r="H1083" i="1"/>
  <c r="I1083" i="1" s="1"/>
  <c r="H1084" i="1"/>
  <c r="H1085" i="1"/>
  <c r="H1086" i="1"/>
  <c r="I1086" i="1" s="1"/>
  <c r="H1087" i="1"/>
  <c r="I1087" i="1" s="1"/>
  <c r="H1088" i="1"/>
  <c r="H1089" i="1"/>
  <c r="H1090" i="1"/>
  <c r="H1091" i="1"/>
  <c r="I1091" i="1" s="1"/>
  <c r="H1092" i="1"/>
  <c r="H1093" i="1"/>
  <c r="H1094" i="1"/>
  <c r="I1094" i="1" s="1"/>
  <c r="H1095" i="1"/>
  <c r="I1095" i="1" s="1"/>
  <c r="H1096" i="1"/>
  <c r="H1097" i="1"/>
  <c r="H1098" i="1"/>
  <c r="I1098" i="1" s="1"/>
  <c r="H1099" i="1"/>
  <c r="I1099" i="1" s="1"/>
  <c r="H1100" i="1"/>
  <c r="H1101" i="1"/>
  <c r="H1102" i="1"/>
  <c r="I1102" i="1" s="1"/>
  <c r="H1103" i="1"/>
  <c r="I1103" i="1" s="1"/>
  <c r="H1104" i="1"/>
  <c r="H1105" i="1"/>
  <c r="H1106" i="1"/>
  <c r="H1107" i="1"/>
  <c r="I1107" i="1" s="1"/>
  <c r="H1108" i="1"/>
  <c r="H1109" i="1"/>
  <c r="H1110" i="1"/>
  <c r="I1110" i="1" s="1"/>
  <c r="H1111" i="1"/>
  <c r="I1111" i="1" s="1"/>
  <c r="H1112" i="1"/>
  <c r="H1113" i="1"/>
  <c r="H1114" i="1"/>
  <c r="I1114" i="1" s="1"/>
  <c r="H1115" i="1"/>
  <c r="I1115" i="1" s="1"/>
  <c r="H1116" i="1"/>
  <c r="H1117" i="1"/>
  <c r="H1118" i="1"/>
  <c r="I1118" i="1" s="1"/>
  <c r="H1119" i="1"/>
  <c r="I1119" i="1" s="1"/>
  <c r="H1120" i="1"/>
  <c r="H1121" i="1"/>
  <c r="H1122" i="1"/>
  <c r="H1123" i="1"/>
  <c r="I1123" i="1" s="1"/>
  <c r="H1124" i="1"/>
  <c r="H1125" i="1"/>
  <c r="H1126" i="1"/>
  <c r="I1126" i="1" s="1"/>
  <c r="H1127" i="1"/>
  <c r="I1127" i="1" s="1"/>
  <c r="H1128" i="1"/>
  <c r="H1129" i="1"/>
  <c r="H1130" i="1"/>
  <c r="I1130" i="1" s="1"/>
  <c r="H1131" i="1"/>
  <c r="I1131" i="1" s="1"/>
  <c r="H1132" i="1"/>
  <c r="H1133" i="1"/>
  <c r="I1133" i="1" s="1"/>
  <c r="H1134" i="1"/>
  <c r="H1135" i="1"/>
  <c r="I1135" i="1" s="1"/>
  <c r="H1136" i="1"/>
  <c r="H1137" i="1"/>
  <c r="I1137" i="1" s="1"/>
  <c r="H1138" i="1"/>
  <c r="I1138" i="1" s="1"/>
  <c r="H1139" i="1"/>
  <c r="I1139" i="1" s="1"/>
  <c r="H1140" i="1"/>
  <c r="H1141" i="1"/>
  <c r="I1141" i="1" s="1"/>
  <c r="H1142" i="1"/>
  <c r="H1143" i="1"/>
  <c r="I1143" i="1" s="1"/>
  <c r="H1144" i="1"/>
  <c r="H1145" i="1"/>
  <c r="I1145" i="1" s="1"/>
  <c r="H1146" i="1"/>
  <c r="I1146" i="1" s="1"/>
  <c r="H1147" i="1"/>
  <c r="I1147" i="1" s="1"/>
  <c r="H1148" i="1"/>
  <c r="H1149" i="1"/>
  <c r="I1149" i="1" s="1"/>
  <c r="H1150" i="1"/>
  <c r="I1150" i="1" s="1"/>
  <c r="H1151" i="1"/>
  <c r="I1151" i="1" s="1"/>
  <c r="H1152" i="1"/>
  <c r="H1153" i="1"/>
  <c r="I1153" i="1" s="1"/>
  <c r="H1154" i="1"/>
  <c r="I1154" i="1" s="1"/>
  <c r="H1155" i="1"/>
  <c r="I1155" i="1" s="1"/>
  <c r="H1156" i="1"/>
  <c r="H1157" i="1"/>
  <c r="I1157" i="1" s="1"/>
  <c r="H1158" i="1"/>
  <c r="I1158" i="1" s="1"/>
  <c r="H1159" i="1"/>
  <c r="H1160" i="1"/>
  <c r="H1161" i="1"/>
  <c r="I1161" i="1" s="1"/>
  <c r="H1162" i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H1169" i="1"/>
  <c r="I1169" i="1" s="1"/>
  <c r="H1170" i="1"/>
  <c r="I1170" i="1" s="1"/>
  <c r="H1171" i="1"/>
  <c r="H1172" i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H1181" i="1"/>
  <c r="I1181" i="1" s="1"/>
  <c r="H1182" i="1"/>
  <c r="I1182" i="1" s="1"/>
  <c r="H1183" i="1"/>
  <c r="I1183" i="1" s="1"/>
  <c r="H1184" i="1"/>
  <c r="H1185" i="1"/>
  <c r="I1185" i="1" s="1"/>
  <c r="H1186" i="1"/>
  <c r="H1187" i="1"/>
  <c r="I1187" i="1" s="1"/>
  <c r="H1188" i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895" i="1"/>
  <c r="I895" i="1" s="1"/>
  <c r="H1358" i="1"/>
  <c r="I1358" i="1" s="1"/>
  <c r="H1359" i="1"/>
  <c r="I1359" i="1" s="1"/>
  <c r="I916" i="1"/>
  <c r="I919" i="1"/>
  <c r="I920" i="1"/>
  <c r="I923" i="1"/>
  <c r="I924" i="1"/>
  <c r="I927" i="1"/>
  <c r="I928" i="1"/>
  <c r="I929" i="1"/>
  <c r="I931" i="1"/>
  <c r="I932" i="1"/>
  <c r="I935" i="1"/>
  <c r="I936" i="1"/>
  <c r="I939" i="1"/>
  <c r="I940" i="1"/>
  <c r="I943" i="1"/>
  <c r="I944" i="1"/>
  <c r="I945" i="1"/>
  <c r="I948" i="1"/>
  <c r="I949" i="1"/>
  <c r="I952" i="1"/>
  <c r="I953" i="1"/>
  <c r="I956" i="1"/>
  <c r="I957" i="1"/>
  <c r="I960" i="1"/>
  <c r="I961" i="1"/>
  <c r="I962" i="1"/>
  <c r="I964" i="1"/>
  <c r="I965" i="1"/>
  <c r="I968" i="1"/>
  <c r="I969" i="1"/>
  <c r="I972" i="1"/>
  <c r="I973" i="1"/>
  <c r="I976" i="1"/>
  <c r="I977" i="1"/>
  <c r="I978" i="1"/>
  <c r="I980" i="1"/>
  <c r="I981" i="1"/>
  <c r="I984" i="1"/>
  <c r="I985" i="1"/>
  <c r="I988" i="1"/>
  <c r="I989" i="1"/>
  <c r="I992" i="1"/>
  <c r="I993" i="1"/>
  <c r="I994" i="1"/>
  <c r="I996" i="1"/>
  <c r="I997" i="1"/>
  <c r="I1000" i="1"/>
  <c r="I1001" i="1"/>
  <c r="I1004" i="1"/>
  <c r="I1005" i="1"/>
  <c r="I1008" i="1"/>
  <c r="I1009" i="1"/>
  <c r="I1010" i="1"/>
  <c r="I1012" i="1"/>
  <c r="I1013" i="1"/>
  <c r="I1016" i="1"/>
  <c r="I1017" i="1"/>
  <c r="I1020" i="1"/>
  <c r="I1021" i="1"/>
  <c r="I1024" i="1"/>
  <c r="I1025" i="1"/>
  <c r="I1026" i="1"/>
  <c r="I1028" i="1"/>
  <c r="I1029" i="1"/>
  <c r="I1032" i="1"/>
  <c r="I1033" i="1"/>
  <c r="I1036" i="1"/>
  <c r="I1037" i="1"/>
  <c r="I1040" i="1"/>
  <c r="I1041" i="1"/>
  <c r="I1042" i="1"/>
  <c r="I1044" i="1"/>
  <c r="I1045" i="1"/>
  <c r="I1048" i="1"/>
  <c r="I1049" i="1"/>
  <c r="I1052" i="1"/>
  <c r="I1053" i="1"/>
  <c r="I1056" i="1"/>
  <c r="I1057" i="1"/>
  <c r="I1058" i="1"/>
  <c r="I1060" i="1"/>
  <c r="I1061" i="1"/>
  <c r="I1064" i="1"/>
  <c r="I1065" i="1"/>
  <c r="I1068" i="1"/>
  <c r="I1069" i="1"/>
  <c r="I1072" i="1"/>
  <c r="I1073" i="1"/>
  <c r="I1074" i="1"/>
  <c r="I1076" i="1"/>
  <c r="I1077" i="1"/>
  <c r="I1080" i="1"/>
  <c r="I1081" i="1"/>
  <c r="I1084" i="1"/>
  <c r="I1085" i="1"/>
  <c r="I1088" i="1"/>
  <c r="I1089" i="1"/>
  <c r="I1090" i="1"/>
  <c r="I1092" i="1"/>
  <c r="I1093" i="1"/>
  <c r="I1096" i="1"/>
  <c r="I1097" i="1"/>
  <c r="I1100" i="1"/>
  <c r="I1101" i="1"/>
  <c r="I1104" i="1"/>
  <c r="I1105" i="1"/>
  <c r="I1106" i="1"/>
  <c r="I1108" i="1"/>
  <c r="I1109" i="1"/>
  <c r="I1112" i="1"/>
  <c r="I1113" i="1"/>
  <c r="I1116" i="1"/>
  <c r="I1117" i="1"/>
  <c r="I1120" i="1"/>
  <c r="I1121" i="1"/>
  <c r="I1122" i="1"/>
  <c r="I1124" i="1"/>
  <c r="I1125" i="1"/>
  <c r="I1128" i="1"/>
  <c r="I1129" i="1"/>
  <c r="I1132" i="1"/>
  <c r="I1134" i="1"/>
  <c r="I1136" i="1"/>
  <c r="I1140" i="1"/>
  <c r="I1142" i="1"/>
  <c r="I1144" i="1"/>
  <c r="I1148" i="1"/>
  <c r="I1152" i="1"/>
  <c r="I1156" i="1"/>
  <c r="I1159" i="1"/>
  <c r="I1160" i="1"/>
  <c r="I1162" i="1"/>
  <c r="I1168" i="1"/>
  <c r="I1171" i="1"/>
  <c r="I1172" i="1"/>
  <c r="I1180" i="1"/>
  <c r="I1184" i="1"/>
  <c r="I1186" i="1"/>
  <c r="I1188" i="1"/>
  <c r="I1196" i="1"/>
  <c r="I1216" i="1"/>
  <c r="H1362" i="1"/>
  <c r="H1360" i="1" l="1"/>
  <c r="I1360" i="1" s="1"/>
  <c r="F227" i="1"/>
  <c r="H227" i="1" s="1"/>
  <c r="I227" i="1" s="1"/>
  <c r="G226" i="1"/>
  <c r="F226" i="1"/>
  <c r="F225" i="1"/>
  <c r="H225" i="1" s="1"/>
  <c r="I225" i="1" s="1"/>
  <c r="E224" i="1"/>
  <c r="H224" i="1" s="1"/>
  <c r="I224" i="1" s="1"/>
  <c r="G223" i="1"/>
  <c r="E223" i="1"/>
  <c r="E222" i="1"/>
  <c r="H222" i="1" s="1"/>
  <c r="I222" i="1" s="1"/>
  <c r="E221" i="1"/>
  <c r="H221" i="1" s="1"/>
  <c r="I221" i="1" s="1"/>
  <c r="G220" i="1"/>
  <c r="E220" i="1"/>
  <c r="G219" i="1"/>
  <c r="F219" i="1"/>
  <c r="E219" i="1"/>
  <c r="E218" i="1"/>
  <c r="H218" i="1" s="1"/>
  <c r="I218" i="1" s="1"/>
  <c r="H217" i="1"/>
  <c r="I217" i="1" s="1"/>
  <c r="G216" i="1"/>
  <c r="E216" i="1"/>
  <c r="G215" i="1"/>
  <c r="F215" i="1"/>
  <c r="E215" i="1"/>
  <c r="G214" i="1"/>
  <c r="E214" i="1"/>
  <c r="E213" i="1"/>
  <c r="H213" i="1" s="1"/>
  <c r="I213" i="1" s="1"/>
  <c r="H212" i="1"/>
  <c r="I212" i="1" s="1"/>
  <c r="G211" i="1"/>
  <c r="F211" i="1"/>
  <c r="E211" i="1"/>
  <c r="H210" i="1"/>
  <c r="I210" i="1" s="1"/>
  <c r="E209" i="1"/>
  <c r="H209" i="1" s="1"/>
  <c r="I209" i="1" s="1"/>
  <c r="G208" i="1"/>
  <c r="E208" i="1"/>
  <c r="G207" i="1"/>
  <c r="E207" i="1"/>
  <c r="G206" i="1"/>
  <c r="F206" i="1"/>
  <c r="E206" i="1"/>
  <c r="H205" i="1"/>
  <c r="I205" i="1" s="1"/>
  <c r="G204" i="1"/>
  <c r="E204" i="1"/>
  <c r="G203" i="1"/>
  <c r="F203" i="1"/>
  <c r="E202" i="1"/>
  <c r="H202" i="1" s="1"/>
  <c r="I202" i="1" s="1"/>
  <c r="G201" i="1"/>
  <c r="F201" i="1"/>
  <c r="E201" i="1"/>
  <c r="E200" i="1"/>
  <c r="H200" i="1" s="1"/>
  <c r="I200" i="1" s="1"/>
  <c r="G199" i="1"/>
  <c r="F199" i="1"/>
  <c r="E199" i="1"/>
  <c r="G198" i="1"/>
  <c r="F198" i="1"/>
  <c r="E198" i="1"/>
  <c r="G197" i="1"/>
  <c r="E197" i="1"/>
  <c r="G196" i="1"/>
  <c r="E196" i="1"/>
  <c r="G195" i="1"/>
  <c r="E195" i="1"/>
  <c r="G194" i="1"/>
  <c r="H194" i="1" s="1"/>
  <c r="I194" i="1" s="1"/>
  <c r="G193" i="1"/>
  <c r="F193" i="1"/>
  <c r="E193" i="1"/>
  <c r="H192" i="1"/>
  <c r="I192" i="1" s="1"/>
  <c r="F191" i="1"/>
  <c r="H191" i="1" s="1"/>
  <c r="I191" i="1" s="1"/>
  <c r="G190" i="1"/>
  <c r="F190" i="1"/>
  <c r="G189" i="1"/>
  <c r="F189" i="1"/>
  <c r="G188" i="1"/>
  <c r="F188" i="1"/>
  <c r="G187" i="1"/>
  <c r="F187" i="1"/>
  <c r="H186" i="1"/>
  <c r="I186" i="1" s="1"/>
  <c r="E185" i="1"/>
  <c r="H185" i="1" s="1"/>
  <c r="I185" i="1" s="1"/>
  <c r="E184" i="1"/>
  <c r="H184" i="1" s="1"/>
  <c r="I184" i="1" s="1"/>
  <c r="E183" i="1"/>
  <c r="H183" i="1" s="1"/>
  <c r="I183" i="1" s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E178" i="1"/>
  <c r="G177" i="1"/>
  <c r="F177" i="1"/>
  <c r="E177" i="1"/>
  <c r="G176" i="1"/>
  <c r="E176" i="1"/>
  <c r="G175" i="1"/>
  <c r="F175" i="1"/>
  <c r="E175" i="1"/>
  <c r="G174" i="1"/>
  <c r="F174" i="1"/>
  <c r="E174" i="1"/>
  <c r="G173" i="1"/>
  <c r="F173" i="1"/>
  <c r="E173" i="1"/>
  <c r="G172" i="1"/>
  <c r="E172" i="1"/>
  <c r="G171" i="1"/>
  <c r="F171" i="1"/>
  <c r="E171" i="1"/>
  <c r="G170" i="1"/>
  <c r="F170" i="1"/>
  <c r="E170" i="1"/>
  <c r="G169" i="1"/>
  <c r="E169" i="1"/>
  <c r="H168" i="1"/>
  <c r="I168" i="1" s="1"/>
  <c r="H167" i="1"/>
  <c r="I167" i="1" s="1"/>
  <c r="G164" i="1"/>
  <c r="E164" i="1"/>
  <c r="G163" i="1"/>
  <c r="E163" i="1"/>
  <c r="G162" i="1"/>
  <c r="E162" i="1"/>
  <c r="G161" i="1"/>
  <c r="E161" i="1"/>
  <c r="G160" i="1"/>
  <c r="F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F152" i="1"/>
  <c r="G151" i="1"/>
  <c r="H151" i="1" s="1"/>
  <c r="I151" i="1" s="1"/>
  <c r="G150" i="1"/>
  <c r="E150" i="1"/>
  <c r="G149" i="1"/>
  <c r="E149" i="1"/>
  <c r="G148" i="1"/>
  <c r="F148" i="1"/>
  <c r="E148" i="1"/>
  <c r="G147" i="1"/>
  <c r="F147" i="1"/>
  <c r="G146" i="1"/>
  <c r="F146" i="1"/>
  <c r="E146" i="1"/>
  <c r="G145" i="1"/>
  <c r="E145" i="1"/>
  <c r="H142" i="1"/>
  <c r="I142" i="1" s="1"/>
  <c r="H141" i="1"/>
  <c r="I141" i="1" s="1"/>
  <c r="G140" i="1"/>
  <c r="H140" i="1" s="1"/>
  <c r="I140" i="1" s="1"/>
  <c r="G139" i="1"/>
  <c r="H139" i="1" s="1"/>
  <c r="I139" i="1" s="1"/>
  <c r="G138" i="1"/>
  <c r="H138" i="1" s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G39" i="1"/>
  <c r="H39" i="1" s="1"/>
  <c r="I39" i="1" s="1"/>
  <c r="G38" i="1"/>
  <c r="H38" i="1" s="1"/>
  <c r="I38" i="1" s="1"/>
  <c r="G37" i="1"/>
  <c r="H37" i="1" s="1"/>
  <c r="I37" i="1" s="1"/>
  <c r="G36" i="1"/>
  <c r="H36" i="1" s="1"/>
  <c r="I36" i="1" s="1"/>
  <c r="G35" i="1"/>
  <c r="F35" i="1"/>
  <c r="E35" i="1"/>
  <c r="H34" i="1"/>
  <c r="I34" i="1" s="1"/>
  <c r="H33" i="1"/>
  <c r="I33" i="1" s="1"/>
  <c r="H32" i="1"/>
  <c r="I32" i="1" s="1"/>
  <c r="E31" i="1"/>
  <c r="H31" i="1" s="1"/>
  <c r="I31" i="1" s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H22" i="1"/>
  <c r="I22" i="1" s="1"/>
  <c r="H21" i="1"/>
  <c r="I21" i="1" s="1"/>
  <c r="G20" i="1"/>
  <c r="F20" i="1"/>
  <c r="E20" i="1"/>
  <c r="E19" i="1"/>
  <c r="H19" i="1" s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G11" i="1"/>
  <c r="H11" i="1" s="1"/>
  <c r="I11" i="1" s="1"/>
  <c r="F165" i="1" l="1"/>
  <c r="E165" i="1"/>
  <c r="G165" i="1"/>
  <c r="H176" i="1"/>
  <c r="I176" i="1" s="1"/>
  <c r="H223" i="1"/>
  <c r="I223" i="1" s="1"/>
  <c r="H226" i="1"/>
  <c r="I226" i="1" s="1"/>
  <c r="H155" i="1"/>
  <c r="I155" i="1" s="1"/>
  <c r="H158" i="1"/>
  <c r="I158" i="1" s="1"/>
  <c r="H160" i="1"/>
  <c r="I160" i="1" s="1"/>
  <c r="H162" i="1"/>
  <c r="I162" i="1" s="1"/>
  <c r="H164" i="1"/>
  <c r="I164" i="1" s="1"/>
  <c r="E228" i="1"/>
  <c r="H175" i="1"/>
  <c r="I175" i="1" s="1"/>
  <c r="H188" i="1"/>
  <c r="I188" i="1" s="1"/>
  <c r="H190" i="1"/>
  <c r="I190" i="1" s="1"/>
  <c r="H214" i="1"/>
  <c r="I214" i="1" s="1"/>
  <c r="H148" i="1"/>
  <c r="I148" i="1" s="1"/>
  <c r="H150" i="1"/>
  <c r="I150" i="1" s="1"/>
  <c r="H157" i="1"/>
  <c r="I157" i="1" s="1"/>
  <c r="H159" i="1"/>
  <c r="I159" i="1" s="1"/>
  <c r="H187" i="1"/>
  <c r="I187" i="1" s="1"/>
  <c r="H189" i="1"/>
  <c r="I189" i="1" s="1"/>
  <c r="H181" i="1"/>
  <c r="I181" i="1" s="1"/>
  <c r="H153" i="1"/>
  <c r="I153" i="1" s="1"/>
  <c r="H173" i="1"/>
  <c r="I173" i="1" s="1"/>
  <c r="H177" i="1"/>
  <c r="I177" i="1" s="1"/>
  <c r="H178" i="1"/>
  <c r="I178" i="1" s="1"/>
  <c r="H196" i="1"/>
  <c r="I196" i="1" s="1"/>
  <c r="H206" i="1"/>
  <c r="I206" i="1" s="1"/>
  <c r="H207" i="1"/>
  <c r="I207" i="1" s="1"/>
  <c r="H220" i="1"/>
  <c r="I220" i="1" s="1"/>
  <c r="H145" i="1"/>
  <c r="I145" i="1" s="1"/>
  <c r="H149" i="1"/>
  <c r="I149" i="1" s="1"/>
  <c r="H152" i="1"/>
  <c r="I152" i="1" s="1"/>
  <c r="H154" i="1"/>
  <c r="I154" i="1" s="1"/>
  <c r="H208" i="1"/>
  <c r="I208" i="1" s="1"/>
  <c r="H219" i="1"/>
  <c r="I219" i="1" s="1"/>
  <c r="H147" i="1"/>
  <c r="I147" i="1" s="1"/>
  <c r="F228" i="1"/>
  <c r="H174" i="1"/>
  <c r="I174" i="1" s="1"/>
  <c r="H198" i="1"/>
  <c r="I198" i="1" s="1"/>
  <c r="H201" i="1"/>
  <c r="I201" i="1" s="1"/>
  <c r="H203" i="1"/>
  <c r="I203" i="1" s="1"/>
  <c r="H211" i="1"/>
  <c r="I211" i="1" s="1"/>
  <c r="H215" i="1"/>
  <c r="I215" i="1" s="1"/>
  <c r="H216" i="1"/>
  <c r="I216" i="1" s="1"/>
  <c r="G143" i="1"/>
  <c r="H20" i="1"/>
  <c r="I20" i="1" s="1"/>
  <c r="G228" i="1"/>
  <c r="H170" i="1"/>
  <c r="I170" i="1" s="1"/>
  <c r="H180" i="1"/>
  <c r="I180" i="1" s="1"/>
  <c r="H182" i="1"/>
  <c r="I182" i="1" s="1"/>
  <c r="H193" i="1"/>
  <c r="I193" i="1" s="1"/>
  <c r="H195" i="1"/>
  <c r="I195" i="1" s="1"/>
  <c r="H197" i="1"/>
  <c r="I197" i="1" s="1"/>
  <c r="H199" i="1"/>
  <c r="I199" i="1" s="1"/>
  <c r="H204" i="1"/>
  <c r="I204" i="1" s="1"/>
  <c r="H35" i="1"/>
  <c r="I35" i="1" s="1"/>
  <c r="H156" i="1"/>
  <c r="I156" i="1" s="1"/>
  <c r="H161" i="1"/>
  <c r="I161" i="1" s="1"/>
  <c r="H163" i="1"/>
  <c r="I163" i="1" s="1"/>
  <c r="H171" i="1"/>
  <c r="I171" i="1" s="1"/>
  <c r="H172" i="1"/>
  <c r="I172" i="1" s="1"/>
  <c r="H179" i="1"/>
  <c r="I179" i="1" s="1"/>
  <c r="E143" i="1"/>
  <c r="F143" i="1"/>
  <c r="H146" i="1"/>
  <c r="I146" i="1" s="1"/>
  <c r="H169" i="1"/>
  <c r="I169" i="1" s="1"/>
  <c r="H143" i="1" l="1"/>
  <c r="I143" i="1"/>
  <c r="H228" i="1"/>
  <c r="H165" i="1"/>
  <c r="I165" i="1" s="1"/>
  <c r="I228" i="1" l="1"/>
  <c r="F1646" i="1"/>
  <c r="H1575" i="1"/>
  <c r="I1575" i="1" s="1"/>
  <c r="H1579" i="1"/>
  <c r="I1579" i="1" s="1"/>
  <c r="H1586" i="1"/>
  <c r="I1586" i="1" s="1"/>
  <c r="H1594" i="1"/>
  <c r="I1594" i="1" s="1"/>
  <c r="H1599" i="1"/>
  <c r="I1599" i="1" s="1"/>
  <c r="H1602" i="1"/>
  <c r="I1602" i="1" s="1"/>
  <c r="H1603" i="1"/>
  <c r="I1603" i="1" s="1"/>
  <c r="H1607" i="1"/>
  <c r="I1607" i="1" s="1"/>
  <c r="H1610" i="1"/>
  <c r="I1610" i="1" s="1"/>
  <c r="H1611" i="1"/>
  <c r="I1611" i="1" s="1"/>
  <c r="H1615" i="1"/>
  <c r="I1615" i="1" s="1"/>
  <c r="H1618" i="1"/>
  <c r="I1618" i="1" s="1"/>
  <c r="H1619" i="1"/>
  <c r="I1619" i="1" s="1"/>
  <c r="H1623" i="1"/>
  <c r="I1623" i="1" s="1"/>
  <c r="H1626" i="1"/>
  <c r="I1626" i="1" s="1"/>
  <c r="H1627" i="1"/>
  <c r="I1627" i="1" s="1"/>
  <c r="H1631" i="1"/>
  <c r="I1631" i="1" s="1"/>
  <c r="H1634" i="1"/>
  <c r="I1634" i="1" s="1"/>
  <c r="H1635" i="1"/>
  <c r="I1635" i="1" s="1"/>
  <c r="H1639" i="1"/>
  <c r="I1639" i="1" s="1"/>
  <c r="H1642" i="1"/>
  <c r="I1642" i="1" s="1"/>
  <c r="H1643" i="1"/>
  <c r="I1643" i="1" s="1"/>
  <c r="H1582" i="1"/>
  <c r="I1582" i="1" s="1"/>
  <c r="H1584" i="1"/>
  <c r="I1584" i="1" s="1"/>
  <c r="H1588" i="1"/>
  <c r="I1588" i="1" s="1"/>
  <c r="H1590" i="1"/>
  <c r="I1590" i="1" s="1"/>
  <c r="H1592" i="1"/>
  <c r="I1592" i="1" s="1"/>
  <c r="H1596" i="1"/>
  <c r="I1596" i="1" s="1"/>
  <c r="H1598" i="1"/>
  <c r="I1598" i="1" s="1"/>
  <c r="H1600" i="1"/>
  <c r="I1600" i="1" s="1"/>
  <c r="H1604" i="1"/>
  <c r="I1604" i="1" s="1"/>
  <c r="H1606" i="1"/>
  <c r="I1606" i="1" s="1"/>
  <c r="H1608" i="1"/>
  <c r="I1608" i="1" s="1"/>
  <c r="H1612" i="1"/>
  <c r="I1612" i="1" s="1"/>
  <c r="H1614" i="1"/>
  <c r="I1614" i="1" s="1"/>
  <c r="H1616" i="1"/>
  <c r="I1616" i="1" s="1"/>
  <c r="H1620" i="1"/>
  <c r="I1620" i="1" s="1"/>
  <c r="H1622" i="1"/>
  <c r="I1622" i="1" s="1"/>
  <c r="H1624" i="1"/>
  <c r="I1624" i="1" s="1"/>
  <c r="H1628" i="1"/>
  <c r="I1628" i="1" s="1"/>
  <c r="H1630" i="1"/>
  <c r="I1630" i="1" s="1"/>
  <c r="H1632" i="1"/>
  <c r="I1632" i="1" s="1"/>
  <c r="H1636" i="1"/>
  <c r="I1636" i="1" s="1"/>
  <c r="H1638" i="1"/>
  <c r="I1638" i="1" s="1"/>
  <c r="H1640" i="1"/>
  <c r="I1640" i="1" s="1"/>
  <c r="H1644" i="1"/>
  <c r="I1644" i="1" s="1"/>
  <c r="H1645" i="1"/>
  <c r="I1645" i="1" s="1"/>
  <c r="H1641" i="1"/>
  <c r="I1641" i="1" s="1"/>
  <c r="H1637" i="1"/>
  <c r="I1637" i="1" s="1"/>
  <c r="H1633" i="1"/>
  <c r="I1633" i="1" s="1"/>
  <c r="H1629" i="1"/>
  <c r="I1629" i="1" s="1"/>
  <c r="H1625" i="1"/>
  <c r="I1625" i="1" s="1"/>
  <c r="H1621" i="1"/>
  <c r="I1621" i="1" s="1"/>
  <c r="H1617" i="1"/>
  <c r="I1617" i="1" s="1"/>
  <c r="H1613" i="1"/>
  <c r="I1613" i="1" s="1"/>
  <c r="H1609" i="1"/>
  <c r="I1609" i="1" s="1"/>
  <c r="H1605" i="1"/>
  <c r="I1605" i="1" s="1"/>
  <c r="H1601" i="1"/>
  <c r="I1601" i="1" s="1"/>
  <c r="H1597" i="1"/>
  <c r="I1597" i="1" s="1"/>
  <c r="H1595" i="1"/>
  <c r="I1595" i="1" s="1"/>
  <c r="H1593" i="1"/>
  <c r="I1593" i="1" s="1"/>
  <c r="H1591" i="1"/>
  <c r="I1591" i="1" s="1"/>
  <c r="H1589" i="1"/>
  <c r="I1589" i="1" s="1"/>
  <c r="H1587" i="1"/>
  <c r="I1587" i="1" s="1"/>
  <c r="H1585" i="1"/>
  <c r="I1585" i="1" s="1"/>
  <c r="H1583" i="1"/>
  <c r="I1583" i="1" s="1"/>
  <c r="H1581" i="1"/>
  <c r="I1581" i="1" s="1"/>
  <c r="H1580" i="1"/>
  <c r="I1580" i="1" s="1"/>
  <c r="H1578" i="1"/>
  <c r="I1578" i="1" s="1"/>
  <c r="H1577" i="1"/>
  <c r="I1577" i="1" s="1"/>
  <c r="H1576" i="1"/>
  <c r="I1576" i="1" s="1"/>
  <c r="H1574" i="1"/>
  <c r="I1574" i="1" s="1"/>
  <c r="E1650" i="1"/>
  <c r="F1650" i="1"/>
  <c r="G1650" i="1"/>
  <c r="H1650" i="1"/>
  <c r="I1650" i="1"/>
  <c r="I1655" i="1"/>
  <c r="I1656" i="1"/>
  <c r="I1657" i="1"/>
  <c r="I1658" i="1"/>
  <c r="I1659" i="1"/>
  <c r="H1570" i="1"/>
  <c r="I1570" i="1" s="1"/>
  <c r="H1569" i="1"/>
  <c r="I1569" i="1" s="1"/>
  <c r="E1557" i="1"/>
  <c r="H1557" i="1" s="1"/>
  <c r="E1556" i="1"/>
  <c r="H1556" i="1" s="1"/>
  <c r="E1554" i="1"/>
  <c r="H1554" i="1" s="1"/>
  <c r="E1553" i="1"/>
  <c r="H1553" i="1" s="1"/>
  <c r="H1646" i="1" l="1"/>
  <c r="I1646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1400" i="1"/>
  <c r="I1400" i="1" s="1"/>
  <c r="H1401" i="1"/>
  <c r="I1401" i="1" s="1"/>
  <c r="H1402" i="1"/>
  <c r="I1402" i="1" s="1"/>
  <c r="H1403" i="1"/>
  <c r="I1403" i="1" s="1"/>
  <c r="H1404" i="1"/>
  <c r="I1404" i="1" s="1"/>
  <c r="H1405" i="1"/>
  <c r="I1405" i="1" s="1"/>
  <c r="H1406" i="1"/>
  <c r="I1406" i="1" s="1"/>
  <c r="H1407" i="1"/>
  <c r="I1407" i="1" s="1"/>
  <c r="H1408" i="1"/>
  <c r="I1408" i="1" s="1"/>
  <c r="H1409" i="1"/>
  <c r="I1409" i="1" s="1"/>
  <c r="H1410" i="1"/>
  <c r="I1410" i="1" s="1"/>
  <c r="H1411" i="1"/>
  <c r="I1411" i="1" s="1"/>
  <c r="H1412" i="1"/>
  <c r="I1412" i="1" s="1"/>
  <c r="H1413" i="1"/>
  <c r="I1413" i="1" s="1"/>
  <c r="H1414" i="1"/>
  <c r="I1414" i="1" s="1"/>
  <c r="H1415" i="1"/>
  <c r="I1415" i="1" s="1"/>
  <c r="H1416" i="1"/>
  <c r="I1416" i="1" s="1"/>
  <c r="H1417" i="1"/>
  <c r="I1417" i="1" s="1"/>
  <c r="H1418" i="1"/>
  <c r="I1418" i="1" s="1"/>
  <c r="H1419" i="1"/>
  <c r="I1419" i="1" s="1"/>
  <c r="H1420" i="1"/>
  <c r="I1420" i="1" s="1"/>
  <c r="H1421" i="1"/>
  <c r="I1421" i="1" s="1"/>
  <c r="H1422" i="1"/>
  <c r="I1422" i="1" s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32" i="1"/>
  <c r="I1432" i="1" s="1"/>
  <c r="H1433" i="1"/>
  <c r="I1433" i="1" s="1"/>
  <c r="H1434" i="1"/>
  <c r="I1434" i="1" s="1"/>
  <c r="H1435" i="1"/>
  <c r="I1435" i="1" s="1"/>
  <c r="H1436" i="1"/>
  <c r="I1436" i="1" s="1"/>
  <c r="H1437" i="1"/>
  <c r="I1437" i="1" s="1"/>
  <c r="H1438" i="1"/>
  <c r="I1438" i="1" s="1"/>
  <c r="H1439" i="1"/>
  <c r="I1439" i="1" s="1"/>
  <c r="H1440" i="1"/>
  <c r="I1440" i="1" s="1"/>
  <c r="H1441" i="1"/>
  <c r="I1441" i="1" s="1"/>
  <c r="H1442" i="1"/>
  <c r="I1442" i="1" s="1"/>
  <c r="H1443" i="1"/>
  <c r="I1443" i="1" s="1"/>
  <c r="H1444" i="1"/>
  <c r="I1444" i="1" s="1"/>
  <c r="H1445" i="1"/>
  <c r="I1445" i="1" s="1"/>
  <c r="H1446" i="1"/>
  <c r="I1446" i="1" s="1"/>
  <c r="H1447" i="1"/>
  <c r="I1447" i="1" s="1"/>
  <c r="H1448" i="1"/>
  <c r="I1448" i="1" s="1"/>
  <c r="H1449" i="1"/>
  <c r="I1449" i="1" s="1"/>
  <c r="H1450" i="1"/>
  <c r="I1450" i="1" s="1"/>
  <c r="H1451" i="1"/>
  <c r="I1451" i="1" s="1"/>
  <c r="H1452" i="1"/>
  <c r="I1452" i="1" s="1"/>
  <c r="H1453" i="1"/>
  <c r="I1453" i="1" s="1"/>
  <c r="H1454" i="1"/>
  <c r="I1454" i="1" s="1"/>
  <c r="H1455" i="1"/>
  <c r="I1455" i="1" s="1"/>
  <c r="H1456" i="1"/>
  <c r="I1456" i="1" s="1"/>
  <c r="H1457" i="1"/>
  <c r="I1457" i="1" s="1"/>
  <c r="H1458" i="1"/>
  <c r="I1458" i="1" s="1"/>
  <c r="H1459" i="1"/>
  <c r="I1459" i="1" s="1"/>
  <c r="H1460" i="1"/>
  <c r="I1460" i="1" s="1"/>
  <c r="H1461" i="1"/>
  <c r="I1461" i="1" s="1"/>
  <c r="H1462" i="1"/>
  <c r="I1462" i="1" s="1"/>
  <c r="H1463" i="1"/>
  <c r="I1463" i="1" s="1"/>
  <c r="H1464" i="1"/>
  <c r="I1464" i="1" s="1"/>
  <c r="H1465" i="1"/>
  <c r="I1465" i="1" s="1"/>
  <c r="H1466" i="1"/>
  <c r="I1466" i="1" s="1"/>
  <c r="H1467" i="1"/>
  <c r="I1467" i="1" s="1"/>
  <c r="H1468" i="1"/>
  <c r="I1468" i="1" s="1"/>
  <c r="H1469" i="1"/>
  <c r="I1469" i="1" s="1"/>
  <c r="H1470" i="1"/>
  <c r="I1470" i="1" s="1"/>
  <c r="H1471" i="1"/>
  <c r="I1471" i="1" s="1"/>
  <c r="H1472" i="1"/>
  <c r="I1472" i="1" s="1"/>
  <c r="H1473" i="1"/>
  <c r="I1473" i="1" s="1"/>
  <c r="H1474" i="1"/>
  <c r="I1474" i="1" s="1"/>
  <c r="H1475" i="1"/>
  <c r="I1475" i="1" s="1"/>
  <c r="H1476" i="1"/>
  <c r="I1476" i="1" s="1"/>
  <c r="H1477" i="1"/>
  <c r="I1477" i="1" s="1"/>
  <c r="H1478" i="1"/>
  <c r="I1478" i="1" s="1"/>
  <c r="H1479" i="1"/>
  <c r="I1479" i="1" s="1"/>
  <c r="H1480" i="1"/>
  <c r="I1480" i="1" s="1"/>
  <c r="H1481" i="1"/>
  <c r="I1481" i="1" s="1"/>
  <c r="H1482" i="1"/>
  <c r="I1482" i="1" s="1"/>
  <c r="H1483" i="1"/>
  <c r="I1483" i="1" s="1"/>
  <c r="H1484" i="1"/>
  <c r="I1484" i="1" s="1"/>
  <c r="H1485" i="1"/>
  <c r="I1485" i="1" s="1"/>
  <c r="H1486" i="1"/>
  <c r="I1486" i="1" s="1"/>
  <c r="H1487" i="1"/>
  <c r="I1487" i="1" s="1"/>
  <c r="H1488" i="1"/>
  <c r="I1488" i="1" s="1"/>
  <c r="H1489" i="1"/>
  <c r="I1489" i="1" s="1"/>
  <c r="H1490" i="1"/>
  <c r="I1490" i="1" s="1"/>
  <c r="H1491" i="1"/>
  <c r="I1491" i="1" s="1"/>
  <c r="H1492" i="1"/>
  <c r="I1492" i="1" s="1"/>
  <c r="H1493" i="1"/>
  <c r="I1493" i="1" s="1"/>
  <c r="H1494" i="1"/>
  <c r="I1494" i="1" s="1"/>
  <c r="H1495" i="1"/>
  <c r="I1495" i="1" s="1"/>
  <c r="H1496" i="1"/>
  <c r="I1496" i="1" s="1"/>
  <c r="H1497" i="1"/>
  <c r="I1497" i="1" s="1"/>
  <c r="H1498" i="1"/>
  <c r="I1498" i="1" s="1"/>
  <c r="H1499" i="1"/>
  <c r="I1499" i="1" s="1"/>
  <c r="H1500" i="1"/>
  <c r="I1500" i="1" s="1"/>
  <c r="H1501" i="1"/>
  <c r="I1501" i="1" s="1"/>
  <c r="H1502" i="1"/>
  <c r="I1502" i="1" s="1"/>
  <c r="H1503" i="1"/>
  <c r="I1503" i="1" s="1"/>
  <c r="H1504" i="1"/>
  <c r="I1504" i="1" s="1"/>
  <c r="H1505" i="1"/>
  <c r="I1505" i="1" s="1"/>
  <c r="H1506" i="1"/>
  <c r="I1506" i="1" s="1"/>
  <c r="H1507" i="1"/>
  <c r="I1507" i="1" s="1"/>
  <c r="H1508" i="1"/>
  <c r="I1508" i="1" s="1"/>
  <c r="H1509" i="1"/>
  <c r="I1509" i="1" s="1"/>
  <c r="H1510" i="1"/>
  <c r="I1510" i="1" s="1"/>
  <c r="H1511" i="1"/>
  <c r="I1511" i="1" s="1"/>
  <c r="H1512" i="1"/>
  <c r="I1512" i="1" s="1"/>
  <c r="H1513" i="1"/>
  <c r="I1513" i="1" s="1"/>
  <c r="H1514" i="1"/>
  <c r="I1514" i="1" s="1"/>
  <c r="H1515" i="1"/>
  <c r="I1515" i="1" s="1"/>
  <c r="H1516" i="1"/>
  <c r="I1516" i="1" s="1"/>
  <c r="H1517" i="1"/>
  <c r="I1517" i="1" s="1"/>
  <c r="H1518" i="1"/>
  <c r="I1518" i="1" s="1"/>
  <c r="H1519" i="1"/>
  <c r="I1519" i="1" s="1"/>
  <c r="H1520" i="1"/>
  <c r="I1520" i="1" s="1"/>
  <c r="H1521" i="1"/>
  <c r="I1521" i="1" s="1"/>
  <c r="H1522" i="1"/>
  <c r="I1522" i="1" s="1"/>
  <c r="H1523" i="1"/>
  <c r="I1523" i="1" s="1"/>
  <c r="H1524" i="1"/>
  <c r="I1524" i="1" s="1"/>
  <c r="H1525" i="1"/>
  <c r="I1525" i="1" s="1"/>
  <c r="H1526" i="1"/>
  <c r="I1526" i="1" s="1"/>
  <c r="H1527" i="1"/>
  <c r="I1527" i="1" s="1"/>
  <c r="H1528" i="1"/>
  <c r="I1528" i="1" s="1"/>
  <c r="H1529" i="1"/>
  <c r="I1529" i="1" s="1"/>
  <c r="H1530" i="1"/>
  <c r="I1530" i="1" s="1"/>
  <c r="H1531" i="1"/>
  <c r="I1531" i="1" s="1"/>
  <c r="H1532" i="1"/>
  <c r="I1532" i="1" s="1"/>
  <c r="H1533" i="1"/>
  <c r="I1533" i="1" s="1"/>
  <c r="H1534" i="1"/>
  <c r="I1534" i="1" s="1"/>
  <c r="H1535" i="1"/>
  <c r="I1535" i="1" s="1"/>
  <c r="H1536" i="1"/>
  <c r="I1536" i="1" s="1"/>
  <c r="H1537" i="1"/>
  <c r="I1537" i="1" s="1"/>
  <c r="H1538" i="1"/>
  <c r="I1538" i="1" s="1"/>
  <c r="H1539" i="1"/>
  <c r="I1539" i="1" s="1"/>
  <c r="H1540" i="1"/>
  <c r="I1540" i="1" s="1"/>
  <c r="H1541" i="1"/>
  <c r="I1541" i="1" s="1"/>
  <c r="H1542" i="1"/>
  <c r="I1542" i="1" s="1"/>
  <c r="H1543" i="1"/>
  <c r="I1543" i="1" s="1"/>
  <c r="H1544" i="1"/>
  <c r="I1544" i="1" s="1"/>
  <c r="H1545" i="1"/>
  <c r="I1545" i="1" s="1"/>
  <c r="H1546" i="1"/>
  <c r="I1546" i="1" s="1"/>
  <c r="H1547" i="1"/>
  <c r="I1547" i="1" s="1"/>
  <c r="H1548" i="1"/>
  <c r="I1548" i="1" s="1"/>
  <c r="H1549" i="1"/>
  <c r="I1549" i="1" s="1"/>
  <c r="H1385" i="1"/>
  <c r="I1385" i="1" s="1"/>
  <c r="E1550" i="1"/>
  <c r="F1550" i="1"/>
  <c r="G1550" i="1"/>
  <c r="F1558" i="1"/>
  <c r="E1558" i="1"/>
  <c r="G1558" i="1"/>
  <c r="I1558" i="1"/>
  <c r="E1571" i="1"/>
  <c r="F1571" i="1"/>
  <c r="G1571" i="1"/>
  <c r="H1571" i="1"/>
  <c r="H1375" i="1"/>
  <c r="H1376" i="1"/>
  <c r="H1377" i="1"/>
  <c r="H1378" i="1"/>
  <c r="H1379" i="1"/>
  <c r="H1380" i="1"/>
  <c r="H1381" i="1"/>
  <c r="H1374" i="1"/>
  <c r="H1370" i="1"/>
  <c r="J1370" i="1" s="1"/>
  <c r="H1369" i="1"/>
  <c r="K1369" i="1" s="1"/>
  <c r="H1368" i="1"/>
  <c r="J1368" i="1" s="1"/>
  <c r="H1367" i="1"/>
  <c r="K1367" i="1" s="1"/>
  <c r="H1366" i="1"/>
  <c r="J1366" i="1" s="1"/>
  <c r="H1365" i="1"/>
  <c r="K1365" i="1" s="1"/>
  <c r="H1364" i="1"/>
  <c r="J1364" i="1" s="1"/>
  <c r="H1363" i="1"/>
  <c r="K1363" i="1" s="1"/>
  <c r="J1362" i="1"/>
  <c r="G1371" i="1"/>
  <c r="I1371" i="1"/>
  <c r="I1550" i="1" l="1"/>
  <c r="H1550" i="1"/>
  <c r="H1558" i="1"/>
  <c r="I1571" i="1"/>
  <c r="J1363" i="1"/>
  <c r="J1367" i="1"/>
  <c r="K1364" i="1"/>
  <c r="K1368" i="1"/>
  <c r="J1365" i="1"/>
  <c r="J1369" i="1"/>
  <c r="H1371" i="1"/>
  <c r="K1362" i="1"/>
  <c r="K1366" i="1"/>
  <c r="K1370" i="1"/>
  <c r="H804" i="1" l="1"/>
  <c r="I804" i="1" s="1"/>
  <c r="H803" i="1"/>
  <c r="I803" i="1" s="1"/>
  <c r="H802" i="1"/>
  <c r="I802" i="1" s="1"/>
  <c r="H801" i="1"/>
  <c r="I801" i="1" s="1"/>
  <c r="H800" i="1"/>
  <c r="I800" i="1" s="1"/>
  <c r="H799" i="1"/>
  <c r="I799" i="1" s="1"/>
  <c r="H798" i="1"/>
  <c r="I798" i="1" s="1"/>
  <c r="H797" i="1"/>
  <c r="I797" i="1" s="1"/>
  <c r="H796" i="1"/>
  <c r="I796" i="1" s="1"/>
  <c r="H795" i="1"/>
  <c r="I795" i="1" s="1"/>
  <c r="H794" i="1"/>
  <c r="I794" i="1" s="1"/>
  <c r="H793" i="1"/>
  <c r="I793" i="1" s="1"/>
  <c r="H792" i="1"/>
  <c r="I792" i="1" s="1"/>
  <c r="H791" i="1"/>
  <c r="I791" i="1" s="1"/>
  <c r="H790" i="1"/>
  <c r="H805" i="1" l="1"/>
  <c r="I790" i="1"/>
  <c r="I805" i="1" s="1"/>
  <c r="H597" i="1" l="1"/>
  <c r="K597" i="1" s="1"/>
  <c r="H596" i="1"/>
  <c r="K596" i="1" s="1"/>
  <c r="H595" i="1"/>
  <c r="K595" i="1" s="1"/>
  <c r="H594" i="1"/>
  <c r="J594" i="1" s="1"/>
  <c r="H593" i="1"/>
  <c r="K593" i="1" s="1"/>
  <c r="H592" i="1"/>
  <c r="K592" i="1" s="1"/>
  <c r="H591" i="1"/>
  <c r="K591" i="1" s="1"/>
  <c r="H590" i="1"/>
  <c r="K590" i="1" s="1"/>
  <c r="H589" i="1"/>
  <c r="K589" i="1" s="1"/>
  <c r="H588" i="1"/>
  <c r="K588" i="1" s="1"/>
  <c r="H587" i="1"/>
  <c r="K587" i="1" s="1"/>
  <c r="H586" i="1"/>
  <c r="K586" i="1" s="1"/>
  <c r="H585" i="1"/>
  <c r="K585" i="1" s="1"/>
  <c r="H584" i="1"/>
  <c r="K584" i="1" s="1"/>
  <c r="H583" i="1"/>
  <c r="K583" i="1" s="1"/>
  <c r="H582" i="1"/>
  <c r="K582" i="1" s="1"/>
  <c r="H581" i="1"/>
  <c r="J581" i="1" s="1"/>
  <c r="H580" i="1"/>
  <c r="K580" i="1" s="1"/>
  <c r="H579" i="1"/>
  <c r="K579" i="1" s="1"/>
  <c r="H578" i="1"/>
  <c r="K578" i="1" s="1"/>
  <c r="H577" i="1"/>
  <c r="K577" i="1" s="1"/>
  <c r="H576" i="1"/>
  <c r="K576" i="1" s="1"/>
  <c r="H575" i="1"/>
  <c r="J575" i="1" s="1"/>
  <c r="H574" i="1"/>
  <c r="K574" i="1" s="1"/>
  <c r="H573" i="1"/>
  <c r="K573" i="1" s="1"/>
  <c r="H572" i="1"/>
  <c r="K572" i="1" s="1"/>
  <c r="H571" i="1"/>
  <c r="K571" i="1" s="1"/>
  <c r="H570" i="1"/>
  <c r="K570" i="1" s="1"/>
  <c r="H569" i="1"/>
  <c r="J569" i="1" s="1"/>
  <c r="H568" i="1"/>
  <c r="K568" i="1" s="1"/>
  <c r="H567" i="1"/>
  <c r="J567" i="1" s="1"/>
  <c r="H566" i="1"/>
  <c r="K566" i="1" s="1"/>
  <c r="H565" i="1"/>
  <c r="J565" i="1" s="1"/>
  <c r="H564" i="1"/>
  <c r="K564" i="1" s="1"/>
  <c r="H563" i="1"/>
  <c r="J563" i="1" s="1"/>
  <c r="H562" i="1"/>
  <c r="K562" i="1" s="1"/>
  <c r="H561" i="1"/>
  <c r="K561" i="1" s="1"/>
  <c r="H560" i="1"/>
  <c r="K560" i="1" s="1"/>
  <c r="H559" i="1"/>
  <c r="J559" i="1" s="1"/>
  <c r="H558" i="1"/>
  <c r="K558" i="1" s="1"/>
  <c r="H557" i="1"/>
  <c r="J557" i="1" s="1"/>
  <c r="E599" i="1"/>
  <c r="F599" i="1"/>
  <c r="G599" i="1"/>
  <c r="I599" i="1"/>
  <c r="J558" i="1" l="1"/>
  <c r="J582" i="1"/>
  <c r="J560" i="1"/>
  <c r="K567" i="1"/>
  <c r="J572" i="1"/>
  <c r="J586" i="1"/>
  <c r="J566" i="1"/>
  <c r="J568" i="1"/>
  <c r="J578" i="1"/>
  <c r="J592" i="1"/>
  <c r="K559" i="1"/>
  <c r="J590" i="1"/>
  <c r="K594" i="1"/>
  <c r="K563" i="1"/>
  <c r="J570" i="1"/>
  <c r="K575" i="1"/>
  <c r="J580" i="1"/>
  <c r="J588" i="1"/>
  <c r="J562" i="1"/>
  <c r="J564" i="1"/>
  <c r="J574" i="1"/>
  <c r="J576" i="1"/>
  <c r="J584" i="1"/>
  <c r="J596" i="1"/>
  <c r="K557" i="1"/>
  <c r="K565" i="1"/>
  <c r="K569" i="1"/>
  <c r="K581" i="1"/>
  <c r="J571" i="1"/>
  <c r="J579" i="1"/>
  <c r="J583" i="1"/>
  <c r="J587" i="1"/>
  <c r="J591" i="1"/>
  <c r="J595" i="1"/>
  <c r="J561" i="1"/>
  <c r="J573" i="1"/>
  <c r="J577" i="1"/>
  <c r="J585" i="1"/>
  <c r="J589" i="1"/>
  <c r="J593" i="1"/>
  <c r="J597" i="1"/>
  <c r="H599" i="1"/>
  <c r="H775" i="1" l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H776" i="1" l="1"/>
  <c r="H690" i="1" l="1"/>
  <c r="I690" i="1" s="1"/>
  <c r="H686" i="1"/>
  <c r="I686" i="1" s="1"/>
  <c r="H668" i="1"/>
  <c r="I668" i="1" s="1"/>
  <c r="H661" i="1"/>
  <c r="I661" i="1" s="1"/>
  <c r="H667" i="1"/>
  <c r="I667" i="1" s="1"/>
  <c r="H666" i="1"/>
  <c r="I666" i="1" s="1"/>
  <c r="H665" i="1"/>
  <c r="I665" i="1" s="1"/>
  <c r="H663" i="1"/>
  <c r="I663" i="1" s="1"/>
  <c r="H662" i="1"/>
  <c r="I662" i="1" s="1"/>
  <c r="H644" i="1"/>
  <c r="I644" i="1" s="1"/>
  <c r="H657" i="1"/>
  <c r="I657" i="1" s="1"/>
  <c r="H649" i="1"/>
  <c r="I649" i="1" s="1"/>
  <c r="H643" i="1"/>
  <c r="I643" i="1" s="1"/>
  <c r="H641" i="1"/>
  <c r="I641" i="1" s="1"/>
  <c r="H640" i="1"/>
  <c r="I640" i="1" s="1"/>
  <c r="H648" i="1"/>
  <c r="I648" i="1" s="1"/>
  <c r="H638" i="1"/>
  <c r="I638" i="1" s="1"/>
  <c r="H646" i="1"/>
  <c r="I646" i="1" s="1"/>
  <c r="H634" i="1"/>
  <c r="I634" i="1" s="1"/>
  <c r="H633" i="1"/>
  <c r="I633" i="1" s="1"/>
  <c r="H639" i="1"/>
  <c r="I639" i="1" s="1"/>
  <c r="H631" i="1"/>
  <c r="I631" i="1" s="1"/>
  <c r="H689" i="1"/>
  <c r="I689" i="1" s="1"/>
  <c r="H688" i="1"/>
  <c r="I688" i="1" s="1"/>
  <c r="H687" i="1"/>
  <c r="I687" i="1" s="1"/>
  <c r="H683" i="1"/>
  <c r="I683" i="1" s="1"/>
  <c r="H682" i="1"/>
  <c r="I682" i="1" s="1"/>
  <c r="H679" i="1"/>
  <c r="I679" i="1" s="1"/>
  <c r="H678" i="1"/>
  <c r="I678" i="1" s="1"/>
  <c r="H659" i="1"/>
  <c r="I659" i="1" s="1"/>
  <c r="H630" i="1"/>
  <c r="I630" i="1" s="1"/>
  <c r="H676" i="1"/>
  <c r="I676" i="1" s="1"/>
  <c r="H674" i="1"/>
  <c r="I674" i="1" s="1"/>
  <c r="H627" i="1"/>
  <c r="I627" i="1" l="1"/>
  <c r="H692" i="1"/>
  <c r="I692" i="1" s="1"/>
  <c r="E623" i="1"/>
  <c r="F623" i="1"/>
  <c r="G623" i="1"/>
  <c r="H623" i="1"/>
  <c r="I623" i="1"/>
  <c r="I554" i="1"/>
  <c r="H553" i="1"/>
  <c r="K553" i="1" s="1"/>
  <c r="H552" i="1"/>
  <c r="K552" i="1" s="1"/>
  <c r="H551" i="1"/>
  <c r="K551" i="1" s="1"/>
  <c r="H550" i="1"/>
  <c r="K550" i="1" s="1"/>
  <c r="H549" i="1"/>
  <c r="K549" i="1" s="1"/>
  <c r="H548" i="1"/>
  <c r="K548" i="1" s="1"/>
  <c r="H547" i="1"/>
  <c r="K547" i="1" s="1"/>
  <c r="H546" i="1"/>
  <c r="K546" i="1" s="1"/>
  <c r="H545" i="1"/>
  <c r="K545" i="1" s="1"/>
  <c r="H544" i="1"/>
  <c r="K544" i="1" s="1"/>
  <c r="H543" i="1"/>
  <c r="J543" i="1" s="1"/>
  <c r="H542" i="1"/>
  <c r="K542" i="1" s="1"/>
  <c r="H541" i="1"/>
  <c r="K541" i="1" s="1"/>
  <c r="H540" i="1"/>
  <c r="K540" i="1" s="1"/>
  <c r="H539" i="1"/>
  <c r="J539" i="1" s="1"/>
  <c r="H538" i="1"/>
  <c r="K538" i="1" s="1"/>
  <c r="H537" i="1"/>
  <c r="K537" i="1" s="1"/>
  <c r="H536" i="1"/>
  <c r="K536" i="1" s="1"/>
  <c r="H535" i="1"/>
  <c r="J535" i="1" s="1"/>
  <c r="H534" i="1"/>
  <c r="K534" i="1" s="1"/>
  <c r="H533" i="1"/>
  <c r="K533" i="1" s="1"/>
  <c r="H532" i="1"/>
  <c r="K532" i="1" s="1"/>
  <c r="H531" i="1"/>
  <c r="J531" i="1" s="1"/>
  <c r="H530" i="1"/>
  <c r="K530" i="1" s="1"/>
  <c r="H529" i="1"/>
  <c r="K529" i="1" s="1"/>
  <c r="H528" i="1"/>
  <c r="K528" i="1" s="1"/>
  <c r="H527" i="1"/>
  <c r="J527" i="1" s="1"/>
  <c r="H526" i="1"/>
  <c r="K526" i="1" s="1"/>
  <c r="H525" i="1"/>
  <c r="K525" i="1" s="1"/>
  <c r="H524" i="1"/>
  <c r="K524" i="1" s="1"/>
  <c r="H523" i="1"/>
  <c r="J523" i="1" s="1"/>
  <c r="H522" i="1"/>
  <c r="K522" i="1" s="1"/>
  <c r="H521" i="1"/>
  <c r="K521" i="1" s="1"/>
  <c r="H520" i="1"/>
  <c r="K520" i="1" s="1"/>
  <c r="H519" i="1"/>
  <c r="J519" i="1" s="1"/>
  <c r="H518" i="1"/>
  <c r="K518" i="1" s="1"/>
  <c r="H517" i="1"/>
  <c r="K517" i="1" s="1"/>
  <c r="H516" i="1"/>
  <c r="K516" i="1" s="1"/>
  <c r="H515" i="1"/>
  <c r="J515" i="1" s="1"/>
  <c r="H514" i="1"/>
  <c r="K514" i="1" s="1"/>
  <c r="H513" i="1"/>
  <c r="K513" i="1" s="1"/>
  <c r="H512" i="1"/>
  <c r="K512" i="1" s="1"/>
  <c r="H511" i="1"/>
  <c r="J511" i="1" s="1"/>
  <c r="H510" i="1"/>
  <c r="K510" i="1" s="1"/>
  <c r="H509" i="1"/>
  <c r="K509" i="1" s="1"/>
  <c r="H508" i="1"/>
  <c r="K508" i="1" s="1"/>
  <c r="H507" i="1"/>
  <c r="J507" i="1" s="1"/>
  <c r="H506" i="1"/>
  <c r="K506" i="1" s="1"/>
  <c r="H505" i="1"/>
  <c r="K505" i="1" s="1"/>
  <c r="H504" i="1"/>
  <c r="K504" i="1" s="1"/>
  <c r="H503" i="1"/>
  <c r="J503" i="1" s="1"/>
  <c r="H502" i="1"/>
  <c r="K502" i="1" s="1"/>
  <c r="H501" i="1"/>
  <c r="K501" i="1" s="1"/>
  <c r="H500" i="1"/>
  <c r="K500" i="1" s="1"/>
  <c r="H499" i="1"/>
  <c r="J499" i="1" s="1"/>
  <c r="H498" i="1"/>
  <c r="K498" i="1" s="1"/>
  <c r="H497" i="1"/>
  <c r="K497" i="1" s="1"/>
  <c r="H496" i="1"/>
  <c r="K496" i="1" s="1"/>
  <c r="H495" i="1"/>
  <c r="J495" i="1" s="1"/>
  <c r="H494" i="1"/>
  <c r="K494" i="1" s="1"/>
  <c r="H493" i="1"/>
  <c r="K493" i="1" s="1"/>
  <c r="H492" i="1"/>
  <c r="K492" i="1" s="1"/>
  <c r="H491" i="1"/>
  <c r="J491" i="1" s="1"/>
  <c r="H490" i="1"/>
  <c r="K490" i="1" s="1"/>
  <c r="H489" i="1"/>
  <c r="K489" i="1" s="1"/>
  <c r="H488" i="1"/>
  <c r="K488" i="1" s="1"/>
  <c r="H487" i="1"/>
  <c r="J487" i="1" s="1"/>
  <c r="H486" i="1"/>
  <c r="K486" i="1" s="1"/>
  <c r="H485" i="1"/>
  <c r="K485" i="1" s="1"/>
  <c r="H484" i="1"/>
  <c r="K484" i="1" s="1"/>
  <c r="H483" i="1"/>
  <c r="J483" i="1" s="1"/>
  <c r="H482" i="1"/>
  <c r="K482" i="1" s="1"/>
  <c r="H481" i="1"/>
  <c r="K481" i="1" s="1"/>
  <c r="H480" i="1"/>
  <c r="K480" i="1" s="1"/>
  <c r="H479" i="1"/>
  <c r="J479" i="1" s="1"/>
  <c r="H478" i="1"/>
  <c r="K478" i="1" s="1"/>
  <c r="H477" i="1"/>
  <c r="K477" i="1" s="1"/>
  <c r="H476" i="1"/>
  <c r="K476" i="1" s="1"/>
  <c r="H475" i="1"/>
  <c r="J475" i="1" s="1"/>
  <c r="H474" i="1"/>
  <c r="K474" i="1" s="1"/>
  <c r="H473" i="1"/>
  <c r="K473" i="1" s="1"/>
  <c r="H472" i="1"/>
  <c r="K472" i="1" s="1"/>
  <c r="H471" i="1"/>
  <c r="J471" i="1" s="1"/>
  <c r="H470" i="1"/>
  <c r="K470" i="1" s="1"/>
  <c r="H469" i="1"/>
  <c r="K469" i="1" s="1"/>
  <c r="H468" i="1"/>
  <c r="K468" i="1" s="1"/>
  <c r="H467" i="1"/>
  <c r="J467" i="1" s="1"/>
  <c r="H466" i="1"/>
  <c r="K466" i="1" s="1"/>
  <c r="H465" i="1"/>
  <c r="K465" i="1" s="1"/>
  <c r="H464" i="1"/>
  <c r="K464" i="1" s="1"/>
  <c r="H463" i="1"/>
  <c r="J463" i="1" s="1"/>
  <c r="H462" i="1"/>
  <c r="K462" i="1" s="1"/>
  <c r="H461" i="1"/>
  <c r="K461" i="1" s="1"/>
  <c r="H460" i="1"/>
  <c r="K460" i="1" s="1"/>
  <c r="H459" i="1"/>
  <c r="J459" i="1" s="1"/>
  <c r="H458" i="1"/>
  <c r="K458" i="1" s="1"/>
  <c r="H457" i="1"/>
  <c r="K457" i="1" s="1"/>
  <c r="H456" i="1"/>
  <c r="K456" i="1" s="1"/>
  <c r="H455" i="1"/>
  <c r="J455" i="1" s="1"/>
  <c r="H454" i="1"/>
  <c r="K454" i="1" s="1"/>
  <c r="H453" i="1"/>
  <c r="K453" i="1" s="1"/>
  <c r="H452" i="1"/>
  <c r="K452" i="1" s="1"/>
  <c r="H451" i="1"/>
  <c r="J451" i="1" s="1"/>
  <c r="H450" i="1"/>
  <c r="K450" i="1" s="1"/>
  <c r="H449" i="1"/>
  <c r="K449" i="1" s="1"/>
  <c r="H448" i="1"/>
  <c r="K448" i="1" s="1"/>
  <c r="H447" i="1"/>
  <c r="J447" i="1" s="1"/>
  <c r="H446" i="1"/>
  <c r="K446" i="1" s="1"/>
  <c r="H445" i="1"/>
  <c r="K445" i="1" s="1"/>
  <c r="H444" i="1"/>
  <c r="K444" i="1" s="1"/>
  <c r="H443" i="1"/>
  <c r="J443" i="1" s="1"/>
  <c r="H442" i="1"/>
  <c r="K442" i="1" s="1"/>
  <c r="H441" i="1"/>
  <c r="H440" i="1"/>
  <c r="K440" i="1" s="1"/>
  <c r="H439" i="1"/>
  <c r="J439" i="1" s="1"/>
  <c r="H438" i="1"/>
  <c r="K438" i="1" s="1"/>
  <c r="H437" i="1"/>
  <c r="H436" i="1"/>
  <c r="K436" i="1" s="1"/>
  <c r="H435" i="1"/>
  <c r="J435" i="1" s="1"/>
  <c r="H434" i="1"/>
  <c r="K434" i="1" s="1"/>
  <c r="H433" i="1"/>
  <c r="H432" i="1"/>
  <c r="K432" i="1" s="1"/>
  <c r="H431" i="1"/>
  <c r="J431" i="1" s="1"/>
  <c r="H430" i="1"/>
  <c r="K430" i="1" s="1"/>
  <c r="H429" i="1"/>
  <c r="H428" i="1"/>
  <c r="K428" i="1" s="1"/>
  <c r="H427" i="1"/>
  <c r="J427" i="1" s="1"/>
  <c r="H426" i="1"/>
  <c r="K426" i="1" s="1"/>
  <c r="H425" i="1"/>
  <c r="H424" i="1"/>
  <c r="K424" i="1" s="1"/>
  <c r="H423" i="1"/>
  <c r="J423" i="1" s="1"/>
  <c r="H422" i="1"/>
  <c r="K422" i="1" s="1"/>
  <c r="H421" i="1"/>
  <c r="H420" i="1"/>
  <c r="K420" i="1" s="1"/>
  <c r="H419" i="1"/>
  <c r="J419" i="1" s="1"/>
  <c r="H418" i="1"/>
  <c r="K418" i="1" s="1"/>
  <c r="H417" i="1"/>
  <c r="J417" i="1" s="1"/>
  <c r="H416" i="1"/>
  <c r="K416" i="1" s="1"/>
  <c r="H415" i="1"/>
  <c r="J415" i="1" s="1"/>
  <c r="H414" i="1"/>
  <c r="K414" i="1" s="1"/>
  <c r="H413" i="1"/>
  <c r="J413" i="1" s="1"/>
  <c r="H412" i="1"/>
  <c r="K412" i="1" s="1"/>
  <c r="H411" i="1"/>
  <c r="J411" i="1" s="1"/>
  <c r="H410" i="1"/>
  <c r="K410" i="1" s="1"/>
  <c r="H409" i="1"/>
  <c r="J409" i="1" s="1"/>
  <c r="H408" i="1"/>
  <c r="K408" i="1" s="1"/>
  <c r="H407" i="1"/>
  <c r="J407" i="1" s="1"/>
  <c r="H406" i="1"/>
  <c r="K406" i="1" s="1"/>
  <c r="H405" i="1"/>
  <c r="J405" i="1" s="1"/>
  <c r="H404" i="1"/>
  <c r="K404" i="1" s="1"/>
  <c r="H403" i="1"/>
  <c r="J403" i="1" s="1"/>
  <c r="H402" i="1"/>
  <c r="K402" i="1" s="1"/>
  <c r="H401" i="1"/>
  <c r="J401" i="1" s="1"/>
  <c r="H400" i="1"/>
  <c r="K400" i="1" s="1"/>
  <c r="H399" i="1"/>
  <c r="J399" i="1" s="1"/>
  <c r="H398" i="1"/>
  <c r="K398" i="1" s="1"/>
  <c r="H397" i="1"/>
  <c r="J397" i="1" s="1"/>
  <c r="H396" i="1"/>
  <c r="K396" i="1" s="1"/>
  <c r="H395" i="1"/>
  <c r="J395" i="1" s="1"/>
  <c r="H394" i="1"/>
  <c r="K394" i="1" s="1"/>
  <c r="H393" i="1"/>
  <c r="J393" i="1" s="1"/>
  <c r="H392" i="1"/>
  <c r="K392" i="1" s="1"/>
  <c r="H391" i="1"/>
  <c r="J391" i="1" s="1"/>
  <c r="J534" i="1" l="1"/>
  <c r="K511" i="1"/>
  <c r="J432" i="1"/>
  <c r="J430" i="1"/>
  <c r="K495" i="1"/>
  <c r="K431" i="1"/>
  <c r="J394" i="1"/>
  <c r="J410" i="1"/>
  <c r="J462" i="1"/>
  <c r="J464" i="1"/>
  <c r="K463" i="1"/>
  <c r="J494" i="1"/>
  <c r="J496" i="1"/>
  <c r="J402" i="1"/>
  <c r="K447" i="1"/>
  <c r="J478" i="1"/>
  <c r="J480" i="1"/>
  <c r="J418" i="1"/>
  <c r="J446" i="1"/>
  <c r="J448" i="1"/>
  <c r="K479" i="1"/>
  <c r="J510" i="1"/>
  <c r="J512" i="1"/>
  <c r="J398" i="1"/>
  <c r="J414" i="1"/>
  <c r="K423" i="1"/>
  <c r="J438" i="1"/>
  <c r="J440" i="1"/>
  <c r="K455" i="1"/>
  <c r="J470" i="1"/>
  <c r="J472" i="1"/>
  <c r="K487" i="1"/>
  <c r="J502" i="1"/>
  <c r="J504" i="1"/>
  <c r="K519" i="1"/>
  <c r="J528" i="1"/>
  <c r="J548" i="1"/>
  <c r="J406" i="1"/>
  <c r="J422" i="1"/>
  <c r="J424" i="1"/>
  <c r="K439" i="1"/>
  <c r="J454" i="1"/>
  <c r="J456" i="1"/>
  <c r="K471" i="1"/>
  <c r="J486" i="1"/>
  <c r="J488" i="1"/>
  <c r="K503" i="1"/>
  <c r="J518" i="1"/>
  <c r="J520" i="1"/>
  <c r="K527" i="1"/>
  <c r="J536" i="1"/>
  <c r="K543" i="1"/>
  <c r="J396" i="1"/>
  <c r="J404" i="1"/>
  <c r="J412" i="1"/>
  <c r="J420" i="1"/>
  <c r="K427" i="1"/>
  <c r="J434" i="1"/>
  <c r="J436" i="1"/>
  <c r="K443" i="1"/>
  <c r="J450" i="1"/>
  <c r="J452" i="1"/>
  <c r="K459" i="1"/>
  <c r="J466" i="1"/>
  <c r="J468" i="1"/>
  <c r="K475" i="1"/>
  <c r="J482" i="1"/>
  <c r="J484" i="1"/>
  <c r="K491" i="1"/>
  <c r="J498" i="1"/>
  <c r="J500" i="1"/>
  <c r="K507" i="1"/>
  <c r="J514" i="1"/>
  <c r="J516" i="1"/>
  <c r="K523" i="1"/>
  <c r="J530" i="1"/>
  <c r="J532" i="1"/>
  <c r="K539" i="1"/>
  <c r="J546" i="1"/>
  <c r="H554" i="1"/>
  <c r="J526" i="1"/>
  <c r="K535" i="1"/>
  <c r="J542" i="1"/>
  <c r="J544" i="1"/>
  <c r="J392" i="1"/>
  <c r="J400" i="1"/>
  <c r="J408" i="1"/>
  <c r="J416" i="1"/>
  <c r="J426" i="1"/>
  <c r="J428" i="1"/>
  <c r="K435" i="1"/>
  <c r="J442" i="1"/>
  <c r="J444" i="1"/>
  <c r="K451" i="1"/>
  <c r="J458" i="1"/>
  <c r="J460" i="1"/>
  <c r="K467" i="1"/>
  <c r="J474" i="1"/>
  <c r="J476" i="1"/>
  <c r="K483" i="1"/>
  <c r="J490" i="1"/>
  <c r="J492" i="1"/>
  <c r="K499" i="1"/>
  <c r="J506" i="1"/>
  <c r="J508" i="1"/>
  <c r="K515" i="1"/>
  <c r="J522" i="1"/>
  <c r="J524" i="1"/>
  <c r="K531" i="1"/>
  <c r="J538" i="1"/>
  <c r="J540" i="1"/>
  <c r="J550" i="1"/>
  <c r="J552" i="1"/>
  <c r="J429" i="1"/>
  <c r="K429" i="1"/>
  <c r="K425" i="1"/>
  <c r="J425" i="1"/>
  <c r="K441" i="1"/>
  <c r="J441" i="1"/>
  <c r="J437" i="1"/>
  <c r="K437" i="1"/>
  <c r="J421" i="1"/>
  <c r="K421" i="1"/>
  <c r="K391" i="1"/>
  <c r="K393" i="1"/>
  <c r="K395" i="1"/>
  <c r="K397" i="1"/>
  <c r="K399" i="1"/>
  <c r="K401" i="1"/>
  <c r="K403" i="1"/>
  <c r="K405" i="1"/>
  <c r="K407" i="1"/>
  <c r="K409" i="1"/>
  <c r="K411" i="1"/>
  <c r="K413" i="1"/>
  <c r="K415" i="1"/>
  <c r="K417" i="1"/>
  <c r="K419" i="1"/>
  <c r="K433" i="1"/>
  <c r="J433" i="1"/>
  <c r="J547" i="1"/>
  <c r="J551" i="1"/>
  <c r="J445" i="1"/>
  <c r="J449" i="1"/>
  <c r="J453" i="1"/>
  <c r="J457" i="1"/>
  <c r="J461" i="1"/>
  <c r="J465" i="1"/>
  <c r="J469" i="1"/>
  <c r="J473" i="1"/>
  <c r="J477" i="1"/>
  <c r="J481" i="1"/>
  <c r="J485" i="1"/>
  <c r="J489" i="1"/>
  <c r="J493" i="1"/>
  <c r="J497" i="1"/>
  <c r="J501" i="1"/>
  <c r="J505" i="1"/>
  <c r="J509" i="1"/>
  <c r="J513" i="1"/>
  <c r="J517" i="1"/>
  <c r="J521" i="1"/>
  <c r="J525" i="1"/>
  <c r="J529" i="1"/>
  <c r="J533" i="1"/>
  <c r="J537" i="1"/>
  <c r="J541" i="1"/>
  <c r="J545" i="1"/>
  <c r="J549" i="1"/>
  <c r="J553" i="1"/>
  <c r="H386" i="1" l="1"/>
  <c r="F388" i="1" l="1"/>
  <c r="G388" i="1"/>
  <c r="I388" i="1"/>
  <c r="H387" i="1"/>
  <c r="H385" i="1"/>
  <c r="E384" i="1"/>
  <c r="H384" i="1" s="1"/>
  <c r="E383" i="1"/>
  <c r="H383" i="1" s="1"/>
  <c r="H382" i="1"/>
  <c r="E381" i="1"/>
  <c r="H381" i="1" s="1"/>
  <c r="E380" i="1"/>
  <c r="H380" i="1" s="1"/>
  <c r="E379" i="1"/>
  <c r="H379" i="1" s="1"/>
  <c r="H378" i="1"/>
  <c r="E377" i="1"/>
  <c r="H377" i="1" s="1"/>
  <c r="E376" i="1"/>
  <c r="H376" i="1" s="1"/>
  <c r="E375" i="1"/>
  <c r="H375" i="1" s="1"/>
  <c r="H374" i="1"/>
  <c r="H373" i="1"/>
  <c r="E372" i="1"/>
  <c r="H372" i="1" s="1"/>
  <c r="E371" i="1"/>
  <c r="H371" i="1" s="1"/>
  <c r="H370" i="1"/>
  <c r="E369" i="1"/>
  <c r="H369" i="1" s="1"/>
  <c r="E368" i="1"/>
  <c r="H368" i="1" s="1"/>
  <c r="H367" i="1"/>
  <c r="H366" i="1"/>
  <c r="H365" i="1"/>
  <c r="E364" i="1"/>
  <c r="H364" i="1" s="1"/>
  <c r="H363" i="1"/>
  <c r="H362" i="1"/>
  <c r="E361" i="1"/>
  <c r="H361" i="1" s="1"/>
  <c r="H360" i="1"/>
  <c r="E359" i="1"/>
  <c r="H359" i="1" s="1"/>
  <c r="E358" i="1"/>
  <c r="H358" i="1" s="1"/>
  <c r="E357" i="1"/>
  <c r="H357" i="1" s="1"/>
  <c r="E356" i="1"/>
  <c r="H356" i="1" s="1"/>
  <c r="E355" i="1"/>
  <c r="H355" i="1" s="1"/>
  <c r="E354" i="1"/>
  <c r="H354" i="1" s="1"/>
  <c r="E353" i="1"/>
  <c r="H353" i="1" s="1"/>
  <c r="E352" i="1"/>
  <c r="H352" i="1" s="1"/>
  <c r="E351" i="1"/>
  <c r="H351" i="1" s="1"/>
  <c r="E350" i="1"/>
  <c r="H350" i="1" s="1"/>
  <c r="H349" i="1"/>
  <c r="H348" i="1"/>
  <c r="H347" i="1"/>
  <c r="H346" i="1"/>
  <c r="H345" i="1"/>
  <c r="E344" i="1"/>
  <c r="H344" i="1" s="1"/>
  <c r="H343" i="1"/>
  <c r="H342" i="1"/>
  <c r="E341" i="1"/>
  <c r="H341" i="1" s="1"/>
  <c r="H340" i="1"/>
  <c r="E339" i="1"/>
  <c r="H339" i="1" s="1"/>
  <c r="E338" i="1"/>
  <c r="H338" i="1" s="1"/>
  <c r="E337" i="1"/>
  <c r="H337" i="1" s="1"/>
  <c r="E336" i="1"/>
  <c r="H336" i="1" s="1"/>
  <c r="E335" i="1"/>
  <c r="H335" i="1" s="1"/>
  <c r="E334" i="1"/>
  <c r="H334" i="1" s="1"/>
  <c r="H333" i="1"/>
  <c r="E332" i="1"/>
  <c r="H332" i="1" s="1"/>
  <c r="E331" i="1"/>
  <c r="H331" i="1" s="1"/>
  <c r="H330" i="1"/>
  <c r="E329" i="1"/>
  <c r="H329" i="1" s="1"/>
  <c r="E328" i="1"/>
  <c r="H328" i="1" s="1"/>
  <c r="E327" i="1"/>
  <c r="H327" i="1" s="1"/>
  <c r="E326" i="1"/>
  <c r="H326" i="1" s="1"/>
  <c r="H325" i="1"/>
  <c r="E324" i="1"/>
  <c r="H324" i="1" s="1"/>
  <c r="E323" i="1"/>
  <c r="H323" i="1" s="1"/>
  <c r="H322" i="1"/>
  <c r="H321" i="1"/>
  <c r="E320" i="1"/>
  <c r="H320" i="1" s="1"/>
  <c r="E319" i="1"/>
  <c r="H319" i="1" s="1"/>
  <c r="H318" i="1"/>
  <c r="E317" i="1"/>
  <c r="H317" i="1" s="1"/>
  <c r="E316" i="1"/>
  <c r="H316" i="1" s="1"/>
  <c r="E315" i="1"/>
  <c r="H315" i="1" s="1"/>
  <c r="E314" i="1"/>
  <c r="H314" i="1" s="1"/>
  <c r="E313" i="1"/>
  <c r="H313" i="1" s="1"/>
  <c r="H312" i="1"/>
  <c r="H311" i="1"/>
  <c r="H310" i="1"/>
  <c r="E309" i="1"/>
  <c r="H309" i="1" s="1"/>
  <c r="E308" i="1"/>
  <c r="H308" i="1" s="1"/>
  <c r="E307" i="1"/>
  <c r="H307" i="1" s="1"/>
  <c r="H306" i="1"/>
  <c r="E305" i="1"/>
  <c r="H305" i="1" s="1"/>
  <c r="E304" i="1"/>
  <c r="H304" i="1" s="1"/>
  <c r="E303" i="1"/>
  <c r="H303" i="1" s="1"/>
  <c r="E302" i="1"/>
  <c r="H302" i="1" s="1"/>
  <c r="E301" i="1"/>
  <c r="H301" i="1" s="1"/>
  <c r="H300" i="1"/>
  <c r="E299" i="1"/>
  <c r="H299" i="1" s="1"/>
  <c r="E298" i="1"/>
  <c r="H298" i="1" s="1"/>
  <c r="H297" i="1"/>
  <c r="H296" i="1"/>
  <c r="E295" i="1"/>
  <c r="H295" i="1" s="1"/>
  <c r="H294" i="1"/>
  <c r="E293" i="1"/>
  <c r="H293" i="1" s="1"/>
  <c r="E292" i="1"/>
  <c r="H292" i="1" s="1"/>
  <c r="E291" i="1"/>
  <c r="H291" i="1" s="1"/>
  <c r="E290" i="1"/>
  <c r="H290" i="1" s="1"/>
  <c r="E289" i="1"/>
  <c r="H289" i="1" s="1"/>
  <c r="H288" i="1"/>
  <c r="E287" i="1"/>
  <c r="H287" i="1" s="1"/>
  <c r="E286" i="1"/>
  <c r="H286" i="1" s="1"/>
  <c r="E285" i="1"/>
  <c r="H285" i="1" s="1"/>
  <c r="H284" i="1"/>
  <c r="E283" i="1"/>
  <c r="H283" i="1" s="1"/>
  <c r="E282" i="1"/>
  <c r="H282" i="1" s="1"/>
  <c r="E281" i="1"/>
  <c r="H281" i="1" s="1"/>
  <c r="E280" i="1"/>
  <c r="H280" i="1" s="1"/>
  <c r="E279" i="1"/>
  <c r="H279" i="1" s="1"/>
  <c r="H278" i="1"/>
  <c r="E277" i="1"/>
  <c r="H277" i="1" s="1"/>
  <c r="H276" i="1"/>
  <c r="E275" i="1"/>
  <c r="H275" i="1" s="1"/>
  <c r="E274" i="1"/>
  <c r="H274" i="1" s="1"/>
  <c r="E273" i="1"/>
  <c r="H273" i="1" s="1"/>
  <c r="E272" i="1"/>
  <c r="H272" i="1" s="1"/>
  <c r="H271" i="1"/>
  <c r="E388" i="1" l="1"/>
  <c r="H388" i="1"/>
  <c r="E776" i="1" l="1"/>
  <c r="F776" i="1"/>
  <c r="G776" i="1"/>
  <c r="I776" i="1"/>
  <c r="E701" i="1"/>
  <c r="F701" i="1"/>
  <c r="G701" i="1"/>
  <c r="H701" i="1" l="1"/>
  <c r="I701" i="1" s="1"/>
  <c r="E1382" i="1" l="1"/>
  <c r="F1382" i="1"/>
  <c r="G1382" i="1"/>
  <c r="I1382" i="1" l="1"/>
  <c r="H1382" i="1"/>
  <c r="G607" i="1" l="1"/>
  <c r="F607" i="1"/>
  <c r="E607" i="1"/>
  <c r="H607" i="1" l="1"/>
  <c r="I607" i="1" l="1"/>
  <c r="F267" i="1"/>
  <c r="F1688" i="1" l="1"/>
  <c r="F1652" i="1"/>
  <c r="H267" i="1"/>
  <c r="H1652" i="1" s="1"/>
  <c r="H1688" i="1" s="1"/>
  <c r="E267" i="1"/>
  <c r="E1652" i="1" l="1"/>
  <c r="E1688" i="1" s="1"/>
  <c r="G267" i="1"/>
  <c r="G1652" i="1" l="1"/>
  <c r="G1688" i="1" s="1"/>
  <c r="I267" i="1"/>
  <c r="I1652" i="1" s="1"/>
  <c r="I1688" i="1" s="1"/>
</calcChain>
</file>

<file path=xl/comments1.xml><?xml version="1.0" encoding="utf-8"?>
<comments xmlns="http://schemas.openxmlformats.org/spreadsheetml/2006/main">
  <authors>
    <author/>
    <author>Печенюк Наталья Викторовна</author>
    <author>romancova</author>
    <author>СонинаЕИ</author>
  </authors>
  <commentList>
    <comment ref="C1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строительство не ведется!</t>
        </r>
      </text>
    </comment>
    <comment ref="G1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аренда земли</t>
        </r>
      </text>
    </comment>
    <comment ref="F246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G246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Часть перенесла в ПИР</t>
        </r>
      </text>
    </comment>
    <comment ref="F257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G257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Часть перенесла в ПИР</t>
        </r>
      </text>
    </comment>
    <comment ref="F258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G258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F263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E605" authorId="2">
      <text>
        <r>
          <rPr>
            <b/>
            <sz val="9"/>
            <color indexed="81"/>
            <rFont val="Tahoma"/>
            <family val="2"/>
            <charset val="204"/>
          </rPr>
          <t>romancova:</t>
        </r>
        <r>
          <rPr>
            <sz val="9"/>
            <color indexed="81"/>
            <rFont val="Tahoma"/>
            <family val="2"/>
            <charset val="204"/>
          </rPr>
          <t xml:space="preserve">
ул.Сиреневая 17
</t>
        </r>
      </text>
    </comment>
    <comment ref="E606" authorId="2">
      <text>
        <r>
          <rPr>
            <b/>
            <sz val="9"/>
            <color indexed="81"/>
            <rFont val="Tahoma"/>
            <family val="2"/>
            <charset val="204"/>
          </rPr>
          <t>romancova:</t>
        </r>
        <r>
          <rPr>
            <sz val="9"/>
            <color indexed="81"/>
            <rFont val="Tahoma"/>
            <family val="2"/>
            <charset val="204"/>
          </rPr>
          <t xml:space="preserve">
ул.Герцена 10 -12635руб
</t>
        </r>
      </text>
    </comment>
    <comment ref="I883" authorId="3">
      <text>
        <r>
          <rPr>
            <b/>
            <sz val="9"/>
            <color indexed="81"/>
            <rFont val="Tahoma"/>
            <family val="2"/>
            <charset val="204"/>
          </rPr>
          <t>СонинаЕИ:</t>
        </r>
        <r>
          <rPr>
            <sz val="9"/>
            <color indexed="81"/>
            <rFont val="Tahoma"/>
            <family val="2"/>
            <charset val="204"/>
          </rPr>
          <t xml:space="preserve">
По оборотам видим только 99393,02, эту сумму и разбили по видам работ.</t>
        </r>
      </text>
    </comment>
  </commentList>
</comments>
</file>

<file path=xl/sharedStrings.xml><?xml version="1.0" encoding="utf-8"?>
<sst xmlns="http://schemas.openxmlformats.org/spreadsheetml/2006/main" count="1689" uniqueCount="1669">
  <si>
    <t>Г-ввод ул.Луговая,1В, п.Койсуг к ГСНД совх."Луч" п.Койсуг,Азовский р-н, аренда</t>
  </si>
  <si>
    <t>Г-ввод ул.Александровская,185,г.Новочеркасск к г-ду ул.Александровская,г.Новочеркасск,аренда</t>
  </si>
  <si>
    <t>Г-ввод ул.Добролюбова,90,г.Новочеркасск от г-да по ул.Добролюбова, Новочеркасск, аренда</t>
  </si>
  <si>
    <t>Г-ввод ул.Октябрьская,78, г.Новочеркасск к г-ду ул.Октябрьская,г.Новочеркасск, аренда</t>
  </si>
  <si>
    <t>ГВД п.Новопривольный-Привольный Ремонтненского р РО</t>
  </si>
  <si>
    <t>МГ х.Табунщиков Красносулинского р РО</t>
  </si>
  <si>
    <t>МГВД от ст.Буденновская к х.Сухой Пролетарского р РО</t>
  </si>
  <si>
    <t>РГ п.Новопривольный Ремонтненского р РО</t>
  </si>
  <si>
    <t>РГ п.Привольный Ремонтненского р РО</t>
  </si>
  <si>
    <t>МГВД от х.Конезавод до х. Юловский, Сальский район</t>
  </si>
  <si>
    <t>РГ с.Подгорное,Ремонтненский район</t>
  </si>
  <si>
    <t>РГ х.Киевка, Ремонтненский р-н</t>
  </si>
  <si>
    <t>% готовности объекта</t>
  </si>
  <si>
    <t>Дата окончания
 строительства</t>
  </si>
  <si>
    <t>Здание админ-быт ПБ ул.5-линия, 14, с.Чалтырь, Мясниковского района (1 этап)</t>
  </si>
  <si>
    <t>Объект</t>
  </si>
  <si>
    <t>Срок начала строительства</t>
  </si>
  <si>
    <t>Прочие</t>
  </si>
  <si>
    <t>Стоимость, руб фактически по данным первичных  документов</t>
  </si>
  <si>
    <t>Стоимость, руб  по данным  бухгалтерского учета</t>
  </si>
  <si>
    <t>Результаты инвентаризации излишки</t>
  </si>
  <si>
    <t>Результаты инвентаризации недостача</t>
  </si>
  <si>
    <t>Амортизация</t>
  </si>
  <si>
    <t>АСДУ газовой системы, пр.Кировский, д. 40а, г.Ростов-на-Дону</t>
  </si>
  <si>
    <t xml:space="preserve">СМР
</t>
  </si>
  <si>
    <t xml:space="preserve">Проектные
</t>
  </si>
  <si>
    <t>Филиалы</t>
  </si>
  <si>
    <t xml:space="preserve">Коммерческий кредит </t>
  </si>
  <si>
    <t xml:space="preserve">ГВД п.Ремонтное до х.Киевка, Ремонтненский район </t>
  </si>
  <si>
    <t>ГСД (зак) от ГРС-1 до ГРС-2 г.Шахты</t>
  </si>
  <si>
    <t>ГСД (зак) от п.Смагин до п.Наклонная,г.Шахты</t>
  </si>
  <si>
    <t xml:space="preserve">Спецнадбавка </t>
  </si>
  <si>
    <t>Плата за техническое присоединение</t>
  </si>
  <si>
    <t>База отдыха п.Конезавод им.Буденного,Сальского района</t>
  </si>
  <si>
    <t>АУП</t>
  </si>
  <si>
    <t>Здание автогаража ул.Ворошилова, 217, г. Морозовск, инв. 21-1000</t>
  </si>
  <si>
    <t>Г-вводы для подключ.тепличного комбината "Донской"расп.на терр-и бывш.совх.Кривянский,Октябрьский р-</t>
  </si>
  <si>
    <t>Г-ввод 20 пер., д.50, г.Таганрог к ГНД 19 пер., г.Таганрог, аренда</t>
  </si>
  <si>
    <t>Г-ввод ул.Береговая,49,с.Кулешовка к ГНД по ул.Береговой в с.Кулешовка,Азовский р-н,аренда</t>
  </si>
  <si>
    <t>Г-ввод ул.Ленина,38Г,с.Пешково к ГНД по ул.Октябрьской до жил.дома №32,с.Пешково,Азовский р-н,аренда</t>
  </si>
  <si>
    <t>Г-ввод ул.Советская,56,с.Кагальник к ГСНД по Советской от К.Маркса,с.Кагальник,Азрвский р-н,аренда</t>
  </si>
  <si>
    <t>Г-ввод ул.Береговая,84,х.Колузаево к РГНД по ул.Ленина от задв.после ГРПШ-1, Азовский р-н,аренда</t>
  </si>
  <si>
    <t>Г-ввод ул.К.Маркса,101А,с.Самарское к ГРНД по ул.К.Маркса к мол.заводу,с.Самарское,Азовский р,аренда</t>
  </si>
  <si>
    <t>Г-ввод ул.Ленина,87А,г.Азов к РГНД по ул.Ленина от ул.Чехова до ул.Осипенко,г.Азов,аренда</t>
  </si>
  <si>
    <t>Г-ввод ул.Строителей,25А,п.Тимирязевский к РГНД от врез.до загл.ж.д.19 по ул.Новой,Азовский р,аренда</t>
  </si>
  <si>
    <t>Г-ввод ул.Буденовская,279-б к ГВД 2кат.по ул.Буденовская,279-б,г.Новочеркасск,аренда</t>
  </si>
  <si>
    <t>Г-ввод ул.Ефремова,45,г.Новочерскасск от г-да по ул.Ефремова,г.Новочеркасск,аренда</t>
  </si>
  <si>
    <t>Г-ввод ул.Степная,78,г.Новочеркасск к ГНД по ул.Степная,г.Новочеркасск, аренда</t>
  </si>
  <si>
    <t>Склад по адресу: ул.Дружбы,д.18, г.Азов</t>
  </si>
  <si>
    <t>РГ п.Супрун, Сальский р-н</t>
  </si>
  <si>
    <t>ГВД для газоснабжения индивидуальной жилой застройки в районе п. Несветай Мясниковского района</t>
  </si>
  <si>
    <t>ГВД от ГРС г. Азова с переподкл.п.Новоалександровка,с.Кулеш,х.Высоч, Азовского р,зак.г/п,протяж.3,0к</t>
  </si>
  <si>
    <t>ГСД от ул. Ленина.23 до  ввода в ГРПШ по ул.Ленина,18,ст.Боковская,Боковский район,инв.000014286</t>
  </si>
  <si>
    <t>МГ от х. Костино-Быстрянский к х. Новопроциков Морозовского района</t>
  </si>
  <si>
    <t>МГВД от х. Костино-Быстрянский к х. Русско-Власовский Морозовского района</t>
  </si>
  <si>
    <t>ПНГНД от № 37 по ул. Ленина, ст. Боковская, Боковский район,2 этап,инв.08-00790</t>
  </si>
  <si>
    <t>РГ в х.Юловский Сальского района Ростовской области</t>
  </si>
  <si>
    <t xml:space="preserve">РГ по ул. Московская, Грибоедова, Заводская, Тургенева, Пролетарская мкр Колодезное п. Тарасовский </t>
  </si>
  <si>
    <t>РГ х.Маныч Орловского района</t>
  </si>
  <si>
    <t>Рек.Г- д  ст. Боковская ул. Ленина от ГРП до пер. Чкалова (105),1 этап,инв.08-00780</t>
  </si>
  <si>
    <t>Рек.Газопровод по ул. Металлургов от ул.Коминтерна до ул.Миллицейская г.Красный Сулин, инв.9-13208</t>
  </si>
  <si>
    <t>Рек.Газопровод по ул.Галатова от ул.Свободы до ул.Матросова г. Красный Сулин, инв. № 9-13280</t>
  </si>
  <si>
    <t>Рек.Газопровод по ул.Глинки от пер.Братский до ул.Павлова г. Красный Сулин, инв. № 9-13220</t>
  </si>
  <si>
    <t>Рек.Газопровод по ул.Карбышева от ул.Свободы до ул.Матросова г.Красный Сулин, инв.№ 9-13281</t>
  </si>
  <si>
    <t>Рек.Газопровод по ул.Первомайская от ул.Ворошилова до ул Коминтерна г.Красный Сулин, инв.9-13223</t>
  </si>
  <si>
    <t>Рек.Газопровод по ул.Тельмана от ул.Горького до ул.Щаденко г.Красный Сулин, инв.9-13214</t>
  </si>
  <si>
    <t>Рек.Газопровод по ул.Щаденко от ул.Тельмана до реки Гнилуша г.Красный Сулин, инв. № 9-13276</t>
  </si>
  <si>
    <t>Рек.Газопровода по ул.Матросова от ул.Ростовская до ул.Гагарина г.Красный Сулин, инв. № 9-13278</t>
  </si>
  <si>
    <t>Рек.ГНД ул.Космонавтов от ул.Ростовская до ул.Октябрьская г.Красный Сулин,инв.9-13277</t>
  </si>
  <si>
    <t>Рек.ГНД ул.Октябрьская от ул.Свободы до пер.Цимлянский г.Красный Сулин,инв.9-13283</t>
  </si>
  <si>
    <t>Рек.ГРПШ г. Гуково, ул. Л.Чайкиной, инв.№ 9-001493</t>
  </si>
  <si>
    <t>Рек.ГСД по ул.Новоселовская до АБЗ г.Красный Сулин, инв. № 9-13219</t>
  </si>
  <si>
    <t>Рек.ПГВД по ул.Песчаная,35 х.Дуленков до ГРП по ул.Ленина,37 ст.Боковская,Боковский р-н,инв.00014279</t>
  </si>
  <si>
    <t>Рек.РГ от ШРП № 3, 55 в пос.шахты Антрацит г.Гуково Ростовская область,общая протяженность 8,0 км: П</t>
  </si>
  <si>
    <t>ТП ГРПШ на ГВД (ГРС-ШРП), х.Новотроицкий, Родионово-Несветайский район</t>
  </si>
  <si>
    <t>ТП ШРП ст.Егорлыкская, ул.Ленина-Вишневая от ул.Патоличева до Птицекомбин,Егорлыкский р,инв.15-03012</t>
  </si>
  <si>
    <t>Уст.ГРП № 5 г. Белая Калитва ул.Заводская, инв. № 4-010015</t>
  </si>
  <si>
    <t>Уст.ГРПШ на ГСД сл.Родионово-Несветайская, ул.Гвардейцев-Танкистов(дом №7), инв.№ 23-00078</t>
  </si>
  <si>
    <t>Г-ввод для подкл.объекта:Жилые дома по северной границе п."Приазовье",с.Новоалександ, Азовского р-на</t>
  </si>
  <si>
    <t>ГПНД ул.Ленина,Шолохова,Северная,Чехова,х.Шаумяновский, Егорлыкский р-н,инв.15-03140</t>
  </si>
  <si>
    <t>Производственное здание д.26, ул. Мира, г. Зерноград литер А,инв 15-10039</t>
  </si>
  <si>
    <t xml:space="preserve">Г-ввод для подкл.объекта кап.строительства по адресу: Г.Донецк,пр-кт Ленина,35Г </t>
  </si>
  <si>
    <t>Г-ввод к объекту:"Ростовский логистич.центр", Аксайский р,КСП им.Ленина, терр-я аэропор.компл"Южный"</t>
  </si>
  <si>
    <t>ГНД  ул.Колхозная, х.Павленков, Родионово-Несветайский район,инв.23-00116 (ТП ГРПШ)</t>
  </si>
  <si>
    <t>Уст.ГРПШ на ГСД сл.Родионово-Несветайская, ул.Гвардейцев-Танкистов(дом №3), инв.№ 23-00079</t>
  </si>
  <si>
    <t>ПГНД Вильямса Новый микрорайон ст.Кировская, Кагальницкий р-н, инв.15-51728</t>
  </si>
  <si>
    <t>Г-ввод к объекту:Жилая застр. по адресу:в 0.3 км от п.Российский.Большелогмкогос/п,Аксайский район</t>
  </si>
  <si>
    <t>ГСД по пер.Гайдаренко и ул.Петровского в пос.Чертково Ростовской области</t>
  </si>
  <si>
    <t>ПГ х.Октябрьский, Родионово-Несветайский район</t>
  </si>
  <si>
    <t>Г-ввод для подкл. объекта:"СКПТ" ООО"БАТИ АЗОВ""</t>
  </si>
  <si>
    <t>Г-ввод для подключеня:"ПЦ ОА "Реконструктор", Аксайский район</t>
  </si>
  <si>
    <t>Г-ввод к жилому комплексу пер.Парковый,4, г.Таганрог</t>
  </si>
  <si>
    <t>Г-ввод многокв.жилые дома, ул.Адмирала Крюйса,19, г.Таганрог</t>
  </si>
  <si>
    <t>Г-ввод РГВНД с ГРПШ для г-и ж.д.квартала №4 ст "Виноград",ст. Грушевская, Аксайский район</t>
  </si>
  <si>
    <t>Г-ввод сервис, юго-западная ч.уч-ка,Чертковский р-н</t>
  </si>
  <si>
    <t>ПГСД ул.Октябрьская,ул.Пришкольная,ул.Садовая,ул.Степная, с.Бараники, Сальский район,инв.31-03220</t>
  </si>
  <si>
    <t>Г-ввод пер.Грушевый,19,ст.Егорлыкская к ГНД ст.Егорлыкская,п.Мичуринский,восточная часть,аренда</t>
  </si>
  <si>
    <t>ГВНД с ГРПШ п.Северный, ст.Егорлыкская, Егорлыкский р, инв 15-70372</t>
  </si>
  <si>
    <t>ГНД ул.2-я линия от ул.Транспортной до ул.Молодежной., п.Целина инв 15-51916</t>
  </si>
  <si>
    <t>ГНД ул.Войкова от ул. Октябрьской до пер.Семашко ст.Егорлыкской, Егорлыкский район. инв 000014123</t>
  </si>
  <si>
    <t>ГПСД от угла стр № 50 ул. Строителей, г. Зерноград,инв.15-50774</t>
  </si>
  <si>
    <t>ГПСД ул.Школьная, ОПХ Манычское, Зерноградский район, инв.15-50448</t>
  </si>
  <si>
    <t>ГСНД ул.Зеленая,Луговая,ст.Егорлыкская,Егорлыкский р-н.инв 00-001750</t>
  </si>
  <si>
    <t>Г-ввод 5-й Линейный проезд,167,г.Таганрог к ГАЗ/П-26НД12940,18Р.ЛЮКСЕМБУРГ, аренда</t>
  </si>
  <si>
    <t>Г-ввод ДНТ Неклиновский Энергетик,249 к ВНГ с.Николаев.,Гаевка,АГРС,Неклиновский р-н,аренда</t>
  </si>
  <si>
    <t>Г-ввод ДНТЭнтузиаст-2,48с.Николаевка ВНГ с.Николаевка.ГаевкаАГРС Троицкое,Неклиновский р,аренда</t>
  </si>
  <si>
    <t>Г-ввод пер.16 Артеллерийский,61, г.Таганрог к ГНД 20057,37 м.Гончарная,г.Таганрог,аренда</t>
  </si>
  <si>
    <t>Г-ввод СНТ Металлург-2,167с.БессергеновкаВНГул.Мирн1 от ШГРП-3 до Социал,с.Бесс,Неклиновс р-н,аренда</t>
  </si>
  <si>
    <t>Г-ввод ул.7-й Переулок,27,г.Таганрог, ГАЗ/П-26НД12940, Р.Люксембург, аренда</t>
  </si>
  <si>
    <t>Г-ввод ул.Адмир.Крюйса,2-15,г.Таганрог к ГАЗСДП272,5м. ул.Адм. Крюйса2-а,аренда</t>
  </si>
  <si>
    <t>Г-ввод ул.Б.Бульварная,13-21,13-22,г.Таганрог к ПГСД-19,2426,7м.ул.Б.Бульварная,г.Таганрог,аренда</t>
  </si>
  <si>
    <t>Г-ввод ул.Дачная,203, г.Таганрог к ГАЗНд 811м Дач.новый. г. Таганрог, аренда</t>
  </si>
  <si>
    <t>Г-ввод ул.И.Голубца,13,г.Таганрог к ГАЗ НД 600м ТРП7АРТ ДЗЕРЖг.Таганрог,аренда</t>
  </si>
  <si>
    <t>Г-ввод ул.Кольцовская,81,г.Таганрог к ГАЗ/П-53 16760,30м Гоголевский,г.Таганрог, аренда</t>
  </si>
  <si>
    <t>Г-ввод ул.Космонавтов,12 к ВНГ ул.Космонав,Гагар,Островск,с.Новобессергеневка,Неклиновский р,аренда</t>
  </si>
  <si>
    <t>Г-ввод ул.Котлостроительная,35,г.Таганрог к ПГСД 146,3 м.ул.Котлостроительная,37,в,г.Таганрог,аренда</t>
  </si>
  <si>
    <t>Г-ввод ул.Крупской,65а,с.Синявское к ВНГ Буденновский Спуск,Ленина,с.Синявс,Неклиновский р,аренда</t>
  </si>
  <si>
    <t>Г-ввод ул.Менделеева,123,г.Таганрог к ГСД 319,66 м 1 микрорайон русское поле, г.Таганрог, аренда</t>
  </si>
  <si>
    <t>Г-ввод ул.Металлургич,112/74,г.Таганрог, к ГАЗ/П-11 НД21198М,А.ГЛУШКО, аренда</t>
  </si>
  <si>
    <t>Г-ввод ул.Москатова,6 г.Таганрог к ПГСД 10153,8м. Жуковского, Энгельса,аренда</t>
  </si>
  <si>
    <t>Г-ввод ул.Нестерова,5/Ореховая,1а,г.Таганрог к ГВД 494м, ул.Ореховая,20,ул.Нестер,г.Таганрог,аренда</t>
  </si>
  <si>
    <t>Г-ввод ул.Новостройки,15а к ВМГ ул.Энгельса,Новостр,Стах,с.Петрушино,Неклиновский р-н,аренда</t>
  </si>
  <si>
    <t>Г-ввод ул.Октябрьская,1в,х.Красный десант ПГ ГРС р/к Первомайский,х.Кр.Десан,Неклиновский р,аренда</t>
  </si>
  <si>
    <t>Г-ввод ул.Строителей,1б,с. Троицкое, к ВНГ с. Троиц,сКошкино от АГРС с.Троиц.Неклин, аренда</t>
  </si>
  <si>
    <t>Г-ввод ул.Чехова,241,с.Натальевка к ГРП с.Натальевка.,ул.Чехова 1-183,Неклиновский р-н, аренда</t>
  </si>
  <si>
    <t>Г-ввод ул.Чехова,353-а,г.Таганрог к ГНД-700м,ул.Чехова,г.Таганрог,аренда</t>
  </si>
  <si>
    <t>ГНД у.Нижняя,Верхняя,Восточная,с. Камышевка, Матвеево-Курганский район,инв.000013229</t>
  </si>
  <si>
    <t>ПАО "Газпром газораспределение Ростов-на-Дону" в г.  Азове</t>
  </si>
  <si>
    <t>Г-ввод ул.Береговая,1Б,х.Курган к РГСД  ст "Энтузиаст"в х.Курган,Азовский р-н,аренда</t>
  </si>
  <si>
    <t>Г-ввод ул.Бережная,33А,с.Новотроицкое к РГНД по ул.Ленина до Кирова,Бережной,Азовский р-н,аренда</t>
  </si>
  <si>
    <t>Г-ввод ул.Дружбы,13,г.Азов к РГСД по ул.Дружбы к котельной РСМ в г.Азове,аренда</t>
  </si>
  <si>
    <t>Г-ввод ул.Молодежная,77,с.Новотроицкое к РГНД по ул.Кирова с.Новотроиц,Азовский р-н,аренда</t>
  </si>
  <si>
    <t>Г-ввод ул.Пролетарская,3А.Кулешовка ГСД АКДП ул.Гагарина,с.Кулешовка,Азовский р-,аренда</t>
  </si>
  <si>
    <t>Г-ввод ул.Пушкина,79,г.Азов,к РГНД по ул.Пушкина от ул.Кошевого доввода в котел.ЗТО,г.Азов,аренда</t>
  </si>
  <si>
    <t>ГВНД с ГРПШ с.Петровка и с.Платоно-Петровка, Азовский р-н, инв.000013826</t>
  </si>
  <si>
    <t>ГНД бульвару Роз, п.Петровский,Азов, инв.22-06028</t>
  </si>
  <si>
    <t>ГСД х.Чумбур-Коса Азовского района. инв 22-04933</t>
  </si>
  <si>
    <t>РГ х.Усть-Койсуг, Азовского района, инв.00-000580</t>
  </si>
  <si>
    <t>РГНД ст.Елизаветинская,х.Коса,Азовского района, инв.000013768</t>
  </si>
  <si>
    <t>Г-ввод ул.Высотная,1,х.Большой Лог к ГСД 3 кат.по ул.Новоселов,х.Б.Лог,Аксайский р-н, аренда</t>
  </si>
  <si>
    <t>Г-ввод ул.Комарова,50а, п.Рассвет к ПГНД ул.Комарова,п.Рассвет, Аксайский р-н,аренда</t>
  </si>
  <si>
    <t>Г-ввод ул.Ленина,39, х.Большой Лог, к ПГНД  по ул.Ленина в х.Большой Лог,Аксайский р,аренда</t>
  </si>
  <si>
    <t>Г-ввод ул.Молодежная,66,п.Российский к ГНД п.Российский,Аксайский район, аренда</t>
  </si>
  <si>
    <t>Г-ввод ул.Молодежная,68,п.Российский к ГНД п.Российский,Аксайский район, аренда</t>
  </si>
  <si>
    <t>Г-ввод ул.Школьная,27,п.Российский к ПГНД ул.Школьная п.Российский,Аксайский район, аренда</t>
  </si>
  <si>
    <t>Г-ввод ул.Южная,10,п.Дорожный к ГНД 4кат.от выхода из ГРП по ул.Южная,п Дорожный,Аксайский р-,аренда</t>
  </si>
  <si>
    <t>ВГ п.Отрадный Багаевского р РО, инв.00-000575</t>
  </si>
  <si>
    <t>ГВНД с ГРПШ п.Реконструктор,Аксайского района,инв.000013435</t>
  </si>
  <si>
    <t>ГНД сев.часть ст.Старочеркасская,Аксайского р-на, инв.01-00876</t>
  </si>
  <si>
    <t>ГНД ул.Железнодорожная, от 130 до 108/106, г. Аксай, инв 01-00206</t>
  </si>
  <si>
    <t>ГСД пр.Ленина, г. Аксай,инв 000016810</t>
  </si>
  <si>
    <t>ГСНД 9-ый пер. ГРПШ (зак) ул.Красноармейской,ст.Ольгинская, Аксайский р-н,(солнеч.бат) инв. 01-00978</t>
  </si>
  <si>
    <t>ПГСД к микрорайону ООО "Казачий Дон" ст.Старочеркасская Аксайского инв.000016267</t>
  </si>
  <si>
    <t>ПГСД ул.Садовой,Вартанова,Речникова,г.Аксай, инв.01-00655</t>
  </si>
  <si>
    <t>ПНГНД от №54 по ул.Станиславского до №4 по ул.Фурманова,г.Аксай, инв.000014357</t>
  </si>
  <si>
    <t>РС ул.Подгорная,Набережная,Восточная,х.Малый Мишкин,Аксайский р-н, инв.01-00937</t>
  </si>
  <si>
    <t>Гараж п.Атаева, г.Белая Калитва</t>
  </si>
  <si>
    <t>Г-ввод пр.Платовский,77а,г.Новочеркасск к РГНД по ул.Михайловская,г.Новочеркасск,аренда</t>
  </si>
  <si>
    <t>Г-ввод ул.Октябрьская,152, г.Новочеркасск к г-ду ул.Октябрьская,г.Новочеркасск, аренда</t>
  </si>
  <si>
    <t>ГВНД ул.Булавина, г. Новочеркасск, инв.000014698</t>
  </si>
  <si>
    <t>РГСНД ул.Железнодор.,сп.Герцена,ул.Никольского,пр.Платовский, г.Новочеркасск,инв.00-001101</t>
  </si>
  <si>
    <t>ГНД с ГРПШ в мкр Плодопитомник, Семикаракорск,инв.000013192</t>
  </si>
  <si>
    <t>ПГНД ул.Центральная, х.Пухляковский,Усть-Донецкий район,инв.32-31029</t>
  </si>
  <si>
    <t>ПНГВНД от ГРС в Усть-Донецком р-не х.Апаринский от ул.Промышл,Инженер,Мира ,Новостр,инв.000015507</t>
  </si>
  <si>
    <t>ВГ х.Карповка Багаевского р инв. 00-000129</t>
  </si>
  <si>
    <t>Автоматич.сис-ма пож.сигнал.в автом.боксах и производ.помещ., г.Новошахтинск</t>
  </si>
  <si>
    <t>Гараж (рек) (Литер Г1),ул.Мира,26,г.Зерноград,инв.15-10034</t>
  </si>
  <si>
    <t>Парков.зона ул.Калинина,25,г.Белая Калитва,Белокалитвинский р-н</t>
  </si>
  <si>
    <t>Пожарн.сигнл.автом.боксах и произ.ул.Карбышева,60,г.Кр.Сулин,Красносулинский р-н,инв.9-11007</t>
  </si>
  <si>
    <t>Пост пров-ки газоб.оборуд.ул.Гагарина,27,г.Аксай</t>
  </si>
  <si>
    <t>Пост пров-ки газоб.оборуд.ул.Орджоникидзе,14,с.Песчанокопское,Песчанокопский р-н</t>
  </si>
  <si>
    <t>Пост пров-ки газоб.оборуд.ул.Спартака,167,ст.Багаевская,Багаевский р-н</t>
  </si>
  <si>
    <t>Пост пров-ки газоб.оборуд.ул.Трактовая,53, г.Сальк</t>
  </si>
  <si>
    <t>Пост пров-ки газоб.оборуд.ул.Южная,5,г.Батайск</t>
  </si>
  <si>
    <t>Уст-во огр. расхода газа на ГВД с.Чалтырь,ГГРП ул.Луговая,Мясниковский р-н, инв.22-00478</t>
  </si>
  <si>
    <t>МГ х.Золотаревка,х.Павлов,Семикаракорский р-н</t>
  </si>
  <si>
    <t>РГ для газ-и ул.Пионерская,Марата Мечникова,Чернышевского,г.Новошахтинск</t>
  </si>
  <si>
    <t>РГ с.Табунщиково,Красносулинский р-н</t>
  </si>
  <si>
    <t>РГ ул.Южная,К.Цеткин,Пионерская,больница Электровозная,Знамя Поб.Горлова,Войк,г.Новошахтинск</t>
  </si>
  <si>
    <t>РГ х.Виноградный,Усть-Донецкий р-н</t>
  </si>
  <si>
    <t>РГ х.Некрасовка,Неклиновский р-н</t>
  </si>
  <si>
    <t>РГ х.Ольховский,Усть-Донецкий р-н</t>
  </si>
  <si>
    <t>РГ х.Павлов,Семикаракорский р-н</t>
  </si>
  <si>
    <t>РГ х.Сужено,Неклиновский р-н</t>
  </si>
  <si>
    <t>ВГ х.Ракитный,Зерноградский р-н</t>
  </si>
  <si>
    <t>ГВД от ГРС Шахты до сущ.сетей газораспрделения</t>
  </si>
  <si>
    <t>ГНД для газ-и ж.кв.пер.Виноградный,ст.Боковская,Боковский р-н</t>
  </si>
  <si>
    <t>ГНД для газ-и ж. кв. ул.Заречной,пер.Чирский,терновый,Ковыленский,ст.Боковская,Боковский р-н</t>
  </si>
  <si>
    <t>ГНД п.Украинский,Красносулинский р-н</t>
  </si>
  <si>
    <t>ГПСД ул.Ленина,Вишневая,ул.Патоличева до Птицекомбинат,ст.Егорлыкская,Егорлыкский р-н,инв.15-03012</t>
  </si>
  <si>
    <t>ГСД пер.Базарный,ул.Петровского,п.Чертково,Чертковский р-н</t>
  </si>
  <si>
    <t>ГСНД ГРПБ для газ-ции жд ул.Луначарского,Чехова,Фрунзе,Шестой,Проезд,г.Донец</t>
  </si>
  <si>
    <t>МГ х.Романов,Моисеев,Дубовский р-н</t>
  </si>
  <si>
    <t>РГ от ШРП № 5 п.ш. Антацит,г.Гуково</t>
  </si>
  <si>
    <t>РГ от ШПР № 50-58, п.ш.Октябрьская,г.Гуково</t>
  </si>
  <si>
    <t>РГ от ШРП № 57 в п.ш.№ 24,г.Гуково</t>
  </si>
  <si>
    <t>РГ ул.Колхозная,пер.Садовый,г.Гуково</t>
  </si>
  <si>
    <t>РГ х.Еритовка,Миллеровский р-н</t>
  </si>
  <si>
    <t>РГ х.Моисеев,Дубовский р-н</t>
  </si>
  <si>
    <t>РГНД ул.Красносулинская,Российская,Возрождение,пер.Мартовский,Урожайный,Радостный,Летний,Весенний,г.Гуково</t>
  </si>
  <si>
    <t>РГНД ул.Лесная,Островского,тургенева,Стахановская,Шахтная от ШРП № 51,г.Гуково</t>
  </si>
  <si>
    <t>РГНД х.Михайловский,Верхнедонской р-н</t>
  </si>
  <si>
    <t>РГ г-да х.Малахов,Миллеровский р-н</t>
  </si>
  <si>
    <t>СГ для газ-ции п.Липовка,Тарасовский р-н</t>
  </si>
  <si>
    <t>ГСНД ГРПБ для газ-ции д ул.Пограничная,г.Донецк</t>
  </si>
  <si>
    <t>РГ ул.Молодежная,пер.Западный,Дорожная,дачная,пер.Южный,г.Гуково</t>
  </si>
  <si>
    <t>Г-ввод к объекту: ДНТ "Ивушка", х. Махин, Аксайский район</t>
  </si>
  <si>
    <t>Г-ввод ул.Дзержинского,93, к РГНД ул.Дзержинского пер.Коллонтаевс,пл.!!! Интерн.г.Азов,аренда</t>
  </si>
  <si>
    <t>Г-ввод ул.Заводская,1Б,х.Обуховка,РГНД х.Обуховка,Азовский р-н, стор.</t>
  </si>
  <si>
    <t>Г-ввод ул.М.Горького,2б,х.Задонский к РГНД от ГПР ул.Ленина,Нольнойх.Задонский, Азовский р-н,аренда</t>
  </si>
  <si>
    <t>Г-ввод ул.Матросова,пер.Павлова,1/5а,г.Азов к ГНД ул.Павлова,Железнод,Красногор, г.Азов, аренда</t>
  </si>
  <si>
    <t>Г-ввод ул.Степная,24В к РГНД от ШРП до жд п.Солнечный,г.Азов, аренда</t>
  </si>
  <si>
    <t>Г-ввод ул.Степная,44, к РГНД от ШРП до жд в п.Солнечный, г.Азов, аренда</t>
  </si>
  <si>
    <t>Г-ввод ул.Мельничная,94-а,ст.Багаевская,Багаевский р-н, стор.</t>
  </si>
  <si>
    <t>ГВД ул.Свободы от ГГРП до Автовокзала,ст Багаевская,Багаевский р-он,инв.01-00423</t>
  </si>
  <si>
    <t>ГНД х.Елкин,Багаевского района, инв.000013175</t>
  </si>
  <si>
    <t>Г-ввод ул.9 линия,1347, ДНТ "Алмаз", Аксайский р-н,стор.</t>
  </si>
  <si>
    <t>Г-ввод ул.Вербная,46,г.Аксай,стор.</t>
  </si>
  <si>
    <t>Г-ввод ул.Высотная,3, х.Большой Лог, Аксайский р-н,инв.00-001426</t>
  </si>
  <si>
    <t>Г-ввод ул.Каскадная,5,п.Реконструктор,Аксайский р-н, стор.</t>
  </si>
  <si>
    <t>Г-ввод ул.Каскадная,7,п.Реконструктор, Аксайский р-н, стор.</t>
  </si>
  <si>
    <t>Г-ввод ул.Мира,19,х.Веселый,Аксайский р-н,стор.</t>
  </si>
  <si>
    <t>Г-ввод ул.Молдавская,27, п.Дорожный, к ПНГСНД ул.Молдавская,п.Дорожный,Аксайский р-н,аренда</t>
  </si>
  <si>
    <t>Г-ввод ул.Молодежная,60, к ПГНД ул.Комсом,Молод,п.Рассвет, Аксайский р-н,аренда</t>
  </si>
  <si>
    <t>Г-ввод ул.Новая,16В х.Большой Лог к ПГВСД ул.Новая,х.Большой Лог, Аксайский р-н, аренда</t>
  </si>
  <si>
    <t>Г-ввод ул.Парковая,38/4,п.Российский,Аксайский р-н, стор.</t>
  </si>
  <si>
    <t>Г-ввод ул.Тарасовская,7, г.Аксай,Аксайский р-н, стор.</t>
  </si>
  <si>
    <t>ПГНД ул.Буденного по ул.Д.бедного Аксай</t>
  </si>
  <si>
    <t>ПНГНД от выхода ГСД расп в 11,4 м юго-запад угла ГРП № 22 по ул.Ленина в г.Аксай, инв.000015074</t>
  </si>
  <si>
    <t>ГНД ул.Докукина-Южная граница города,Советская,Кирова г.Зверево,инв.№ 9-42021</t>
  </si>
  <si>
    <t>ГНД ул.Крупской,Вокзальная,Качалова,Безямянная, г.Зверево,инв.№ 000013306</t>
  </si>
  <si>
    <t>Г-ввод ул.Ботаническая 9 А   к Газификация ж.мкр.№42 в пос.ш.Антрацитг.Гуково,аренда</t>
  </si>
  <si>
    <t>Г-ввод ул.Центральная 105 к ГНД по ул.Центральная (от ГРП-9 А до ж.д.101) г.Гуково,аренда</t>
  </si>
  <si>
    <t>ГНД ул.Ульянова г.Гуково,инв.№000016163</t>
  </si>
  <si>
    <t>ГНД от ШРП 1,2,4 к ж.д.,ограниченным ул.Овражная,Красная Горка,Ковалева г.Гуково,инв.№000015833</t>
  </si>
  <si>
    <t>ГСД с ГРП №13 и ГНД ул.Краснодарская,Жуковского,Смоленская,Цимлянская,Добролюбова г.Гуково,инв.№9-41576</t>
  </si>
  <si>
    <t>РГ от ШРП №12,47,48 п.ш.Ростовская г.Гуково,инв.№000015026</t>
  </si>
  <si>
    <t>РГ от ШРП №17,56 п.ш.№24-26,Русецкий г.Гуково,инв.№000013751</t>
  </si>
  <si>
    <t>РГ от ШРП №18,57 п.ш.№24-26,Русецкий г.Гуково,инв.№00-000511</t>
  </si>
  <si>
    <t>ГВНД х.Красный Яр Кагальницкий р-н, инв. 00-001996</t>
  </si>
  <si>
    <t>ГВСД ул.Макаренко, Остапенко, Пирогова, Машиностроительная, г.Зерноград, инв 15-70302</t>
  </si>
  <si>
    <t>ПНГСД ул.Тургенева,Советская,Патолич,Ленина,ст.Егорлыкская,Егорлыкский р-н, инв.000015581</t>
  </si>
  <si>
    <t>РГНД х.Кагальничек,Кагальницкого р-на, инв.15-70401</t>
  </si>
  <si>
    <t>Г-ввод ул. Кольцевая 28 х Морозов к ГВСНД х Морозов Морозовского р-на аренда</t>
  </si>
  <si>
    <t>Г-ввод ул. Пчеловодческая 1а х Морозов к ГВСНД х Морозов Морозовского р-на аренда</t>
  </si>
  <si>
    <t>ГСД ул. Калинина Дербенцева г Морозовск инв. 21-961</t>
  </si>
  <si>
    <t>ПГСД от ГГРП к воен. Город. г Морозовск инв 21-29</t>
  </si>
  <si>
    <t>ГСД с.Березовка,Сальский район,инв 31-03340</t>
  </si>
  <si>
    <t>ПНГВНД ул.Одесская, ул.Крайнюка,ул.Локтионова,ул.Димурина,г.Сальск, инв.000016027</t>
  </si>
  <si>
    <t>ПНГНД ул.Воровского,Верхняя,Прямая,Целинная, г.Сальск,инв.000015903</t>
  </si>
  <si>
    <t>ПНГСНД ул.Буденного,И.Яицкого,Полуляшк,Кирова,Школь, Ленина, с.Ивановка, Сальский р-н, инв.000015908</t>
  </si>
  <si>
    <t>Г-ввод Магистральный сад,16,с.Вареновка,ВНГ АГРС Самбек,Варен,ул.Родник,Пер,Неклиновский р-н, аренда</t>
  </si>
  <si>
    <t>Г-ввод пер.Армейский,16, г.Таганрог, ГНД п.Вечность, г.Таганрог, аренда</t>
  </si>
  <si>
    <t>Г-ввод пер.Овражный,3,г.Таганрог,стор.</t>
  </si>
  <si>
    <t>Г-ввод пер.Тургеневский,84,г. Таганрог к ГАЗ/П-11НД21198м,А.Глушко,аренда</t>
  </si>
  <si>
    <t>Г-ввод ул.Азовская,71, х.Николаево-Козловский ВНГ х.Талалаевский,Никол-Козлов,Неклиновский р-н,аренд</t>
  </si>
  <si>
    <t>Г-ввод ул.Б.Бульварная,13-11, г.Таганрог, к ПГСД ул.Б.Бульварная,г.Таганрог,аренда</t>
  </si>
  <si>
    <t>Г-ввод ул.Доменская,45,г.Таганрог, к ГНД Домчебсов,г.Таганрог,аренда</t>
  </si>
  <si>
    <t>Г-ввод ул.К.Либкнехта,23,г.Таганрог к г-ду А.Глушко,г.Таганрог,аренда</t>
  </si>
  <si>
    <t>Г-ввод ул.Кавказская,59б,с.Троицкое, ВНГ с.Троицкое,Кошкино.Неклиновский р-н,аренда</t>
  </si>
  <si>
    <t>Г-ввод ул.Кооперативная,39,с.Самбек,к ПГ с.Самбек,ул.Центр,Морск,Подг,Берег,Неклиновский р-н, аренда</t>
  </si>
  <si>
    <t>Г-ввод ул.Маршала Жукова,120,г.Таганрог, к ГНД 3 ЛИНПР 9НОВ,аренда</t>
  </si>
  <si>
    <t>Г-ввод ул.Октябрьская,121, п.Золотая Коса,к ПГ х.Новолакедемонов Неклиновский р,аренда</t>
  </si>
  <si>
    <t>Г-ввод ул.Октябрьская,44а,с.А.Мелентьево, ВНГ ул.Октябр,Первом,Неклиновский р-н,аренда</t>
  </si>
  <si>
    <t>Г-ввод ул.Полевая,8а,с.Федоровка ВНГ с.Федоровка,улНабереКуйбСемаш Неклин р,аренд</t>
  </si>
  <si>
    <t>Г-ввод ул.Солнечная,40 с.Бессергеневка к ВНГ ул.Мирн1 от ШГРП-3 до Социал,с.Бесс, Неклинов р-н,аренд</t>
  </si>
  <si>
    <t>Г-ввод пер.Музыкальный,28, г.Шахты, стор</t>
  </si>
  <si>
    <t>Г-ввод ул.Калинина,144,р.п.Каменоломни,Октябрьский р-н</t>
  </si>
  <si>
    <t>Г-ввод ул.Шоссейная,1-з, г.Шахты к РГСД п.Каменоломни имп.Базе от Крупской, г.Шахты, аренда</t>
  </si>
  <si>
    <t>Г-ввод пер.Заводской,6а, г.Новочеркасск, стор.</t>
  </si>
  <si>
    <t>Г-ввод пер.Чистый,25, г.Новочеркасск, стор.</t>
  </si>
  <si>
    <t>Г-ввод ул.Речная,61, г.Новочеркасск, стор.</t>
  </si>
  <si>
    <t>Г-ввод ул.Флерова,20, г.Новочеркасск, стор.</t>
  </si>
  <si>
    <t>РГ ул.Сарматская,Коллективная,Радужная,Медовая, г.Новочеркасск,инв.00-000231</t>
  </si>
  <si>
    <t>Всего по Обществу</t>
  </si>
  <si>
    <t>Г-ввод ул.Студенческая,8,г.Ростов-на-Дону к ГСД по ул.Студенческая,г.Ростов-на-Дону, аренда</t>
  </si>
  <si>
    <t>Г-ввод ул.М.Горького,491В к ГВД 2 кат по ул.Цимлянской, 39А, г.Батайск, аренда</t>
  </si>
  <si>
    <t>Г-д по территории с/т "Гидромеханизатор",г.Батайск, инв.000014302</t>
  </si>
  <si>
    <t>Г-д ул.Котовского, Рыбной,Калинина, г.Батайск, инв.3-030165</t>
  </si>
  <si>
    <t>Г-д ул.Кривошлыкова от пер. Западного до ул. Московской г.Батайск, инв.3-030191</t>
  </si>
  <si>
    <t>Г-д ул.Цимлянская,Балашова,Минская,Крымская,кооп."Союз", г.Батайск, инв.3-030383</t>
  </si>
  <si>
    <t>НГНД ул.Сальская-ул.Крымская, г.Батайск,инв.3-030385</t>
  </si>
  <si>
    <t>ПГВД и ПГНД ул.Минская,Ейская,Эстонская,Севастопольская,кооп."Магистраль", г.Батайск, инв.3-030386</t>
  </si>
  <si>
    <t>ПГН ул.Гоголя,95,г.Батайск,инв.3-030111</t>
  </si>
  <si>
    <t>ПГНД пер.Заречный,2 до ул.Почтовая,1, г.Батайск, инв.3-030129</t>
  </si>
  <si>
    <t>ПГНД ул.Иноземцева,Дружбы,г.Батайск, инв.3-030028</t>
  </si>
  <si>
    <t>ПГНД ул.Лермонтова,84, г.Батайск, инв.3-030399</t>
  </si>
  <si>
    <t>ПНГНД ул.Молдавская, Ставропольская, Крымская. Минская, г.Батайск инв.3-030388</t>
  </si>
  <si>
    <t>ПНГСД и ПГНД ул.Гайдаш от ул.Ленина до Гастелло и по ул.Матросова г.Батайск. инв.3-030088</t>
  </si>
  <si>
    <t>Г-ввод ул.Колхозная,16, Миллерово к НГпо ул.Колхозная,Советск,Ломанный,г.Миллерово,аренда</t>
  </si>
  <si>
    <t>Г-ввод ул.Российская,126А, Миллерово к НГпо ул.Крупская,14-18, г.Миллерово,аренда</t>
  </si>
  <si>
    <t>НПГСНД п.Рассвет к п.Ковалевка и п.Золотой Колос,Аксайский р-н, инв.000015079</t>
  </si>
  <si>
    <t>Г-ввод в границах КСП им.Ленина,оптово-распред.центр,ОРЦ,Аксайский р-н</t>
  </si>
  <si>
    <t>Г-ввод нежилые помещения,АО Темерницкое,Аксайский р-н</t>
  </si>
  <si>
    <t>Г-ввод пр.Театральный,127/199-205, г.Ростов-на-Дону</t>
  </si>
  <si>
    <t>Г-ввод СД ул.Краснопартизанская,101, г.Белая Калитва</t>
  </si>
  <si>
    <t>Г-ввод ул.Объездная,9,Культурно-досуговый центр, г.Аксай</t>
  </si>
  <si>
    <t>Г-ввод ул.Парковая,5а,детско-юношеская спорт.школа № 2,г.Белая Калитва</t>
  </si>
  <si>
    <t>Г-ввод ул.Производственная,8,АБК,стол.цех,ЖБИ №1,ФПЦ-ВПИ, г.Батайск</t>
  </si>
  <si>
    <t>Г-ввод х.Каменный Брод, асфальтобетонный завод,Родионово-Несветайский р-н</t>
  </si>
  <si>
    <t>Г-ввод Кагальницкое шоссе,в р-не ГСК Автомобилист, г.Азов, РГСД ул.Промышл,ГРП з-а КПА,г.Азов,аренда</t>
  </si>
  <si>
    <t>Г-ввод пер.Дугинчик,12,х.Дугино,к РГСД х.Дугино,ГРПШ-4,7,Азовский р-н,аренда</t>
  </si>
  <si>
    <t>Г-ввод пер.Карьерный,28,г.Азов, РГНД пер.Надежный,14, г.Азов,аренда</t>
  </si>
  <si>
    <t>Г-ввод пер.Короткий,2,г.Азов,ГНД ул.Солнечный,Красногоровской,Азовский р-н,аренда</t>
  </si>
  <si>
    <t>Г-ввод пер.Новослободский,3,с.Самарское,РГНД ул.Юбилейная,с.Самарское,Азовский р-н,аренда</t>
  </si>
  <si>
    <t>Г-ввод пер.Новослободский,7,с.Самарское,Азовский р-н,стор.</t>
  </si>
  <si>
    <t>Г-ввод пер.Урицкого,4,с.Головатовка,Азовский р-н,стор.</t>
  </si>
  <si>
    <t>Г-ввод снт Мичуринец-2,уч-к 551,Азовский р-н, стор.</t>
  </si>
  <si>
    <t>Г-ввод ул.Дугинчик,12,х. Дугино к РГСД подв. к х. Дугино, ГРПШ-4,Мясниковский р-н, аренда</t>
  </si>
  <si>
    <t>Г-ввод ул.Зеленый Гай,69, с.Самарское,РГНД ул.Зеленый Гай,с.Самарское,Азовский р-н</t>
  </si>
  <si>
    <t>Г-ввод ул.Луначарского,15Б,с.Семибалки,Азовский р-н,стор.</t>
  </si>
  <si>
    <t>Г-ввод ул.Макаровского,58,г.Азов,РГНД ул.Макаровского,пер.Урицк,г.Азов,аренда</t>
  </si>
  <si>
    <t>Г-ввод ул.Маяковского,146,с.Самарское,РГНД ул.Мельничн,пер.Первом,с.Самарское,Азовский р-н,аренда</t>
  </si>
  <si>
    <t>Г-ввод ул.О.Кошевого,5,г.Азов,РГСД ул.Кошев,Мира до Москов,г.Азов,аренда</t>
  </si>
  <si>
    <t>Г-ввод ул.Оборонная,15,г.Азов, РГНД ул.Оборонная,г.Азов,аренда</t>
  </si>
  <si>
    <t>Г-ввод ул.Павлова,73 Д,г.Азов, ГНД ул.Ст.Разина,Ленина,Железн,г.Азов,аренда</t>
  </si>
  <si>
    <t>Г-ввод ул.Пушкина,104,с.Кагальник,ГНД ул.Пушкина,М.Горького,с.Кагальник,Азовский р-н,аренда</t>
  </si>
  <si>
    <t>Г-ввод ул.Севастопольская,73,г.Азов к РГНД по ул.Севастопольской от пер.Межевого до Кулагин,аренда</t>
  </si>
  <si>
    <t>ГНД пер.Красноармейскому до ж.д. № 7 по пер.Рыбацкий, с.Кагальник,Азовский район,инв.000014454</t>
  </si>
  <si>
    <t>ГСД для развития Северо-Восточной рекреационной зоны г.Азов</t>
  </si>
  <si>
    <t>ПАО "Газпром газораспределение Ростов-на-Дону" в г.  Аксай</t>
  </si>
  <si>
    <t>Г-ввод пер.Яркий,12, снт Виктория-7, п.Российский,Аксайский р-н,стор.</t>
  </si>
  <si>
    <t>Г-ввод ст Энергия,уч-к 177, Аксайский р-н, стор.</t>
  </si>
  <si>
    <t>Г-ввод ул.Брусничная,15, п.Степной,Аксайский р-н, стор.</t>
  </si>
  <si>
    <t>Г-ввод ул.Виноградная,1746, снт Содружество,Аксайский р-н, стор.</t>
  </si>
  <si>
    <t>Г-ввод ул.Заводская,6, х.Маяковского, Аксайский р-н</t>
  </si>
  <si>
    <t>Г-ввод ул.Каскадная,17, п.Реконструктор, Аксайский р-н, стор.</t>
  </si>
  <si>
    <t>Г-ввод ул.Комсомольская,64,ст.Мишкинская,Аксайский р-н,стор.</t>
  </si>
  <si>
    <t>Г-ввод ул.Косачева,27, п.Степной,Аксайский р-н, стор.</t>
  </si>
  <si>
    <t>Г-ввод ул.Красноармейская,154-Д,Аксайский р-н,стор.</t>
  </si>
  <si>
    <t>Г-ввод ул.Лилий, уч-к 2065, СНТ Содружество, Аксайский р-н,стор.</t>
  </si>
  <si>
    <t>Г-ввод ул.Парковая,27,п.Российский,Аксайский р-н, стор.</t>
  </si>
  <si>
    <t>Г-ввод ул.Пешеходная,22, СНТ Ника-4,Аксайский р-н, стор.</t>
  </si>
  <si>
    <t>Г-ввод ул.Ростовская,28и,п.Рассвет, Аксайский р-н, стор.</t>
  </si>
  <si>
    <t>Г-ввод ул.Эксперементальная,67А, п.Рассвет, к ПГНД 4 кат,  Аксайский р-н,аренда</t>
  </si>
  <si>
    <t>Г-ввод ул.Ясененвая,1/10, п.Российский,Аксайский р-н, стор.</t>
  </si>
  <si>
    <t>ГВНД ул.Калинина, х.Большой Лог, Аксайский р-н, инв.01-00936</t>
  </si>
  <si>
    <t>ПГВД п.Реконструктор от ГРС Аксайский до ГРП  Аксайского района,инв.000013673</t>
  </si>
  <si>
    <t>Г-ввод пер.Болгарский,33,г.Гуково,стор.</t>
  </si>
  <si>
    <t>Газ-я 1 очереди,ГНД для частного сектора ул.Мусоргского,Халтурина,Пархоменко,47 Гв.Дивизии г.Зверево,аренда</t>
  </si>
  <si>
    <t>ПНГСНД ул.Герцена,ул.Бургустинская,пер.Болгарский,ул.К.Маркса,Некрасова в г.Гуково, инв.000015392</t>
  </si>
  <si>
    <t>ПАО "Газпром газораспределение Ростов-на-Дону" в г.  Батайске</t>
  </si>
  <si>
    <t>Г-ввод ул.Медовая,17,г.Батайск,стор.</t>
  </si>
  <si>
    <t>Г-ввод ул.Медовая,21,г.Батайск,стор.</t>
  </si>
  <si>
    <t>Г-ввод ул.Ясеневая,26, г.Батайск, стор.</t>
  </si>
  <si>
    <t>ПГНД ул.Кооперативная,44,г.Батайск,инв. 3-030094</t>
  </si>
  <si>
    <t>ПГНД ул.Луначарского,131,г.Батайск, инв.3-030110</t>
  </si>
  <si>
    <t>ПГСД от котельной ЗМЗ по ул. Воровского до котельной МПС  г.Батайск,инв.3-030221</t>
  </si>
  <si>
    <t>ПГСД ул.Ленина,от ул.Матросова,Бекентьева, до К.Цеткин,Совхозная,  г.Батайск,инв.3-030033</t>
  </si>
  <si>
    <t>ПГСНД ул.1-й Пятилетки, ул.Московская от ул. Куйбышева  г.Батайск,3-030052</t>
  </si>
  <si>
    <t xml:space="preserve">ПАО "Газпром газораспределение Ростов-на-Дону" в г. Белая Калитва </t>
  </si>
  <si>
    <t>ГСНД п.Синегорский Белокалитвиснкого района (2 этап) инв. 00-002263</t>
  </si>
  <si>
    <t>ПАО "Газпром газораспределение Ростов-на-Дону" в г. Волгодонске</t>
  </si>
  <si>
    <t>ПАО "Газпром газораспределение Ростов-на-Дону" в г. Донецк</t>
  </si>
  <si>
    <t>ПАО "Газпром газораспределение Ростов-на-Дону" в г. Зернограде</t>
  </si>
  <si>
    <t>Г-ввод пер.Молодежный,47б, п.Веселый, Веселовский р-н, стор.</t>
  </si>
  <si>
    <t>Г-ввод ул.Механизаторов,10, кв.3 к ГНД п.Юловский, Целинский р-н</t>
  </si>
  <si>
    <t>Г-ввод ул.Парковая,43, к ГНД ул.Парковая,х.Ильинский,Егорлыкский р-н,стор.</t>
  </si>
  <si>
    <t>Г-ввод ул.Садовая,20,22,24,26, ст.Сладкая Балка,Целинский р-н,стор.</t>
  </si>
  <si>
    <t>ГПНД от ШРП №1,2,3,4 с.Степное,Целинского р-на, инв.15-70263</t>
  </si>
  <si>
    <t>ГПНД ул.Петровская,ст.Егорлыкская,Егорлыкский р-н,инв.15-70190</t>
  </si>
  <si>
    <t>ГСНД ул.Дзержинского,г.Зерноград,инв.000016169</t>
  </si>
  <si>
    <t>ПГНД ул.Заводская от загл.до вост.окраины, Егорлыкский р-н, инв. 15-03058</t>
  </si>
  <si>
    <t>ПГНД ул.Калинина,Октябрьский,Социалистический,ст.Кагальницкая,Кагальницкий р-н, инв.15-45693</t>
  </si>
  <si>
    <t>ПНГНД пер.Первомай,ул.Орджоник,Войкова,Грицика,ст.Егорлыкская, Егорлыкский р-н,инв.15-03004</t>
  </si>
  <si>
    <t>ПНГНД ул.Зерноградская,Косар,Ввозного,пер.Николь,ул.Береста,п.Дубки,Зерноградский р-н, инв.000016232</t>
  </si>
  <si>
    <t>Г-ввод ул.Байдукова,1,.Миллерово,к НГ ул.Байдукова,2-8,Толстого,Гаврилова,г.Миллерово,аренда</t>
  </si>
  <si>
    <t>ПАО "Газпром газораспределение Ростов-на-Дону" в г. Миллерово</t>
  </si>
  <si>
    <t>Г-ввод  ул. Грекова 16 кв 1 х Костино-Быстрянский Морозовского р-н</t>
  </si>
  <si>
    <t>ПАО "Газпром газораспределение Ростов-на-Дону" в г.Морозовске</t>
  </si>
  <si>
    <t>ПАО "Газпром газораспределение Ростов-на-Дону" в г. Сальске</t>
  </si>
  <si>
    <t>ПАО "Газпром газораспределение Ростов-на-Дону" в г.  Семикаракорске</t>
  </si>
  <si>
    <t>ПАО "Газпром газораспределение Ростов-на-Дону" в г. Таганроге</t>
  </si>
  <si>
    <t>Г-ввод 1300 км.СКЖД,снт Приморье,уч-к 317, Неклиновский р-н,стор.</t>
  </si>
  <si>
    <t>Г-ввод ДНТ Полет,59,с.Николаевка,Неклиновский р-н, сто.</t>
  </si>
  <si>
    <t>Г-ввод ДСК Сигма,25,с.Николаевка,Неклиновский р-н,стор.</t>
  </si>
  <si>
    <t>Г-ввод Мариупольское шоссе,40-1,СНТ Работник просвещения, уч-к 292, г.Таганрог,стор.</t>
  </si>
  <si>
    <t>Г-ввод Металлург-2 сад,245,ВНГ ул.Мирн1,ШГРП-3,с.Бессергеновка,Неклиновский р-н</t>
  </si>
  <si>
    <t>Г-ввод НДТ Мичуринец-1, М 61, Николаевское шоссе,7-м, г.Таганрог, стор.</t>
  </si>
  <si>
    <t>Г-ввод НДТ Мичуринец-1,А-82,г.Таганрог,стор.</t>
  </si>
  <si>
    <t>Г-ввод Николаевское шоссе,19-1,ДНТ Весна,уч-к 2,г.Таганрог,стор.</t>
  </si>
  <si>
    <t>Г-ввод Николаевское шоссе,7а,аллея 17, уч-к 26, г.Таганрог,стор.</t>
  </si>
  <si>
    <t>Г-ввод пер.Криничный,4а,с.Троицкое,ПГ Кошкино,АГРС,Неклиновский р-н,аренда</t>
  </si>
  <si>
    <t>Г-ввод пер.Некрасова,7а,с.Синявское,ВНГ с.Никол,Гаевка,Неклиновский р-н,аренда</t>
  </si>
  <si>
    <t>Г-ввод пер.Украинский,17,кв.1,с.Покровское,Неклиновский р-н,стор</t>
  </si>
  <si>
    <t>Г-ввод пр-зд Межлумяна,14,г.Таганрог,стор.</t>
  </si>
  <si>
    <t>Г-ввод с/т Парус,9, с.Николаевка,ВНГ с.Никол,Гаевка,Неклиновский р-н,аренда</t>
  </si>
  <si>
    <t>Г-ввод СНТ Дачное-1,аллея,9, уч-к 79, г.Таганрог,стор.</t>
  </si>
  <si>
    <t>Г-ввод ул.Айвазовского,26, г.Таганрог, стор.</t>
  </si>
  <si>
    <t>Г-ввод ул.Алексея Береста,43,с.Покровское,Неклиновский р-н,стор.</t>
  </si>
  <si>
    <t>Г-ввод ул.Березовая,23,с.Покровское,Неклиновский р-н,стор.</t>
  </si>
  <si>
    <t>Г-ввод ул.Гоголя,6и,с.Николаевка,Неклиновский р-н,стор.</t>
  </si>
  <si>
    <t>Г-ввод ул.Западная,32,с.Самбек,ПГ с.Самбек,ул.Центр,Морск,Подг,Неклиновский р-н,аренда</t>
  </si>
  <si>
    <t>Г-ввод ул.Набережная,17А,х.Грузиновка,Неклиновский р-н, стор.</t>
  </si>
  <si>
    <t>Г-ввод ул.Первомайская,53,с.Куйбышево,к ГСД Первом-Куйбышевская,Неклиновский р-н</t>
  </si>
  <si>
    <t>Г-ввод ул.Сельхозтехники,1А,с.Покровское,Неклиновский р-н,стор.</t>
  </si>
  <si>
    <t>Г-ввод ул.Солнечная,27,с.Новобессергеновка,Неклиновский р-н,стор.</t>
  </si>
  <si>
    <t>Г-ввод ул.Солнечная,29,с.Новобессергеновка,Неклиновский р-н,стор.</t>
  </si>
  <si>
    <t>Г-ввод ул.Солнечная,31,с.Новобессергеновка,Неклиновский р-н,стор.</t>
  </si>
  <si>
    <t xml:space="preserve">ПАО "Газпром газораспределение Ростов-на-Дону" в с. Чалтырь </t>
  </si>
  <si>
    <t>Г-ввод ДОСЛ-4 Мичуринец,уч-к 283, г.Новочеркасск,стор.</t>
  </si>
  <si>
    <t>Г-ввод пр.Баклановский,134А,г.Новочеркасск,стор.</t>
  </si>
  <si>
    <t>Г-ввод пр.Платовский,77,г.Новочеркасск,РГНД ул.Михайловская,г.Новочеркасск,аренда</t>
  </si>
  <si>
    <t>Г-ввод СТ № 3 Мелиоратор, уч-к 133, г.Новочеркасск, стор.</t>
  </si>
  <si>
    <t>Г-ввод СТ Донские зори НЗСП № 473, г.Новочеркасск,стор.</t>
  </si>
  <si>
    <t>Г-ввод ул.4-я Жасминная, уч-к 105, СНТ № 7, г.Новочеркасск, стор</t>
  </si>
  <si>
    <t>Г-ввод ул.Сарматская,46,г.Новочеркасск,стор.</t>
  </si>
  <si>
    <t>Г-ввод ул.Первая,33,Лит.А,ДОСЛ №4 Мичуринец, г.Новочеркасск к г-ду ул.Ященко, г.Новочеркасск, аренда</t>
  </si>
  <si>
    <t>Г-ввод ул.Первая,33,Лит.Б,ДОСЛ №4 Мичуринец, г.Новочеркасск к г-ду ул.Ященко, г.Новочеркасск, аренда</t>
  </si>
  <si>
    <t>Г-ввод ул.Транспортная,2-д,г.Новочеркасск к РГ ул.Транспортная, г.Новочеркасск, аренда</t>
  </si>
  <si>
    <t>ПАО "Газпром газораспределение Ростов-на-Дону" в г.Новочеркасске</t>
  </si>
  <si>
    <t>ПАО "Газпром газораспределение Ростов-на-Дону" в г. Шахты</t>
  </si>
  <si>
    <t xml:space="preserve">Г-ввод пер.Музыкальный,26,г.Шахты РГНД ул.Антрацитовая, г.Шахты, </t>
  </si>
  <si>
    <t>02.10.2017</t>
  </si>
  <si>
    <t>01.10.2018</t>
  </si>
  <si>
    <t>20.10.2017</t>
  </si>
  <si>
    <t>19.10.2018</t>
  </si>
  <si>
    <t>18.10.2017</t>
  </si>
  <si>
    <t>17.10.2018</t>
  </si>
  <si>
    <t>12.04.2017</t>
  </si>
  <si>
    <t>11.10.2018</t>
  </si>
  <si>
    <t>Г-ввод ДНТ Исток,276, г.Ростов-на-Дону,стор.</t>
  </si>
  <si>
    <t>Г-ввод ДНТ Победа,97,г.Ростов-на-Дону,стор.</t>
  </si>
  <si>
    <t>Г-ввод ДНТ Утро,175,г.Ростов-на-Дону,стор.</t>
  </si>
  <si>
    <t>Г-ввод ДНТ Утро,18,г.Ростов-на-Дону,стор.</t>
  </si>
  <si>
    <t>Г-ввод ДНТ Утро,205,г.Ростов-на-Дону,стор.</t>
  </si>
  <si>
    <t>Г-ввод ДНТ Утро,63,г.Ростов-на-Дону,стор.</t>
  </si>
  <si>
    <t>Г-ввод пер 9-й Лазоревый,62, г.Ростов-на-Дону, к ПГНД пер. 9-й Лазоревый, г.Ростов-на-Дону, стор.</t>
  </si>
  <si>
    <t>Г-ввод пер.1-й Берестяной,42,уч.138, ДНТ Утро, г.Ростов-на-Дону, ГНД ДНТ Утро, г.Ростов-на-Дону,стор</t>
  </si>
  <si>
    <t>Г-ввод пер.1-й Берестяной,уч.132, ДНТ Утро,54, г.Ростов-на-Дону, стор.</t>
  </si>
  <si>
    <t>Г-ввод пер.1-й Берестяной,уч.141, ДНТ Утро, г.Ростов-на-Дону, ГНД ДНТ Утро, г.Ростов-на-Дону,стор</t>
  </si>
  <si>
    <t>Г-ввод пер.1-й Берестяной,уч.73, ДНТ Утро,85, г.Ростов-на-Дону, стор.</t>
  </si>
  <si>
    <t>Г-ввод пер.1-й Кольский,8а,г.Ростов-на-Дону к ПГНД по ул.1-й Кольский,г.Ростов-на-Дону,аренда</t>
  </si>
  <si>
    <t>Г-ввод пер.2-й переулок,115, г.Ростов-на-Дону, к ГНД пер. 2-й, г.Ростов-на-Дону,аренда</t>
  </si>
  <si>
    <t>Г-ввод пер.3-й Бронзовый,4, г.Ростов-на-Дону,стор.</t>
  </si>
  <si>
    <t>Г-ввод пер.3-й Лазоревый,19а,г.Ростов-на-Дону к ПГНД пер.3-й Лазоревый,г.Ростов-на-Дону,стор.</t>
  </si>
  <si>
    <t>Г-ввод пер.4-й Кустарный,1,ДНТ Утро,16,г.Ростов-на-Дону,стор.</t>
  </si>
  <si>
    <t>Г-ввод пер.4-й Кустарный,19,ДНТ Утро, г.Ростов-на-Дону,стор.</t>
  </si>
  <si>
    <t>Г-ввод пер.5-й Кустарный,31,ДНТ Утро,42,г.Ростов-на-Дону,стор.</t>
  </si>
  <si>
    <t>Г-ввод пер.5-й Кустарный,56,ДНТ Утро,56,г.Ростов-на-Дону,стор.</t>
  </si>
  <si>
    <t>Г-ввод пер.5-й Кустарный,57,уч 29, ДНТ Утро,г.Ростов-на-Дону, к ГНД ДНТ Утро, г.Ростов-на-Дону,стор.</t>
  </si>
  <si>
    <t>Г-ввод пер.5-й Поселковый,18,г.Ростов-на-Дону,ПГНД пер.Аэроклуб.г.Ростов-на-Дону,аренда</t>
  </si>
  <si>
    <t>Г-ввод пер.5-й Санинструкторский,6, г.Ростов-на-Дону,к ПГНД пер.5-й Саниструкторский,аренда</t>
  </si>
  <si>
    <t>Г-ввод пер.6-й Касательный,6,г.Ростов-на-Дону,стор.</t>
  </si>
  <si>
    <t>Г-ввод пер.Беломорский,98,г.Ростов-на-Дону,стор.</t>
  </si>
  <si>
    <t>Г-ввод пер.Беспалого,9,г.Ростов-на-Дону,стор.</t>
  </si>
  <si>
    <t>Г-ввод пер.Денисова,42А, г.Ростов-на-Дону,стор.</t>
  </si>
  <si>
    <t>Г-ввод пер.Джамбульский,1/52,г.Ростов-на-дону РГСД пер.Джамбуль,г.Ростов-на-Дону,аренда</t>
  </si>
  <si>
    <t>Г-ввод пер.Долевой,2г,г.Ростов-на-Дону к ГНД по пер.Долевой,г.Ростов-на-Дону,аренда</t>
  </si>
  <si>
    <t>Г-ввод пер.Дунаевского,10, г.Ростов-на-Дону к ПГНД пер.Дунаевского,г.Ростов-на-Дону,аренда</t>
  </si>
  <si>
    <t>Г-ввод пер.Лазоревый,3, ст. Урожай,уч-к 10-03, г.Ростов-на-Дону, стор.</t>
  </si>
  <si>
    <t>Г-ввод пер.Молодогвардейский,70Б,г.Ростов-на-Дону г.ГСД пер.Молодогвардейский,г.Ростов-на,аренда</t>
  </si>
  <si>
    <t>Г-ввод пер.Несветайский,6А,г.Ростов-на-Дону, к ГНД ул.Зявкина,г.Ростов-на-Дону,аренда</t>
  </si>
  <si>
    <t>Г-ввод пер.Орджоникидзе,1б, г.Ростов-на-Дону,к ПГНД пер.Орджоникидзе,г.Ростов-на-Дону,аренда</t>
  </si>
  <si>
    <t>Г-ввод пер.Расковой,20,г.Ростов-на-Дону к ГНД по пер.Расковой, аренда</t>
  </si>
  <si>
    <t>Г-ввод пер.Саперный,28,г.Ростов-на-Дону,стор.</t>
  </si>
  <si>
    <t>Г-ввод пер.Семашко,21А/58Б,г.Ростов-на-Дону, к ПГНД ул.Темерницкая,г.Ростов-на-Дону,аренда</t>
  </si>
  <si>
    <t>Г-ввод пер.Соборный,24,г.Ростов-на-Дону,стор.</t>
  </si>
  <si>
    <t>Г-ввод пер.Строевой,40а, г.Ростов-на-Дону, к ГНД СНТ Авангард-3, г.Ростов-на-Дону, стор.</t>
  </si>
  <si>
    <t>Г-ввод пер.Третьякова,6, г.Ростов-на-Дону, к ПГНД ул.Шостаковича,г.Ростов-на-Дону, стор.</t>
  </si>
  <si>
    <t>Г-ввод пер.Тувинский,49г,г.Ростов-на-Дону к ГНД по пер.Дзержинского, аренда</t>
  </si>
  <si>
    <t>Г-ввод пер.Фруктовый,10/36,г.Ростов-на-Дону,к ПГНД ул.Калитвенская,2-й Пятилетки,Ростов-на-Дону,арен</t>
  </si>
  <si>
    <t>Г-ввод пер.Ярошенко,13, к ПГНД по пер.Ярошенко,г.Ростов-на-Дону, аренда</t>
  </si>
  <si>
    <t>Г-ввод пр-зд 1-й Тверской,73,п.Темерницкий,Аксайский р-н,стор.</t>
  </si>
  <si>
    <t>Г-ввод пр-зд Видный,38/41, п.Темерницкий,Аксайский р-н,стор.</t>
  </si>
  <si>
    <t>Г-ввод пр-зд Прохладный,6Б, п.Темерницкий,Аксайский р-н,стор.</t>
  </si>
  <si>
    <t>Г-ввод пр-кт 40-летия Победы,73/18г.Ростов-на-Дону к РГНД по пр-кт 40-лет Поб,Ростов-на-Дону, аренда</t>
  </si>
  <si>
    <t>Г-ввод пр.40 лет Победы,55ж,г.Ростов-на-Дону г.ГСД пр.40 лет Победы,ж.д.55,57,53а,57аг.Ростов,аренда</t>
  </si>
  <si>
    <t>Г-ввод пр.40 летия Победы,320/2, г.Ростов-на-Дону,НГНД пр.40-летия Победы,аренад</t>
  </si>
  <si>
    <t>Г-ввод пр.Кировский,98,г.Ростов-на-Дону к ГСД по пр. Кировский,г.Ростов-на-Дону,аренда</t>
  </si>
  <si>
    <t>Г-ввод пр.Маршала Жукова,35/8, к.н. 61:44:000000:0996, г.Ростов-на-Дону,ПГСД ул.Доватора,аренда</t>
  </si>
  <si>
    <t>Г-ввод пр.Стачки,114,г.Ростов-на-Дону,стор.</t>
  </si>
  <si>
    <t>Г-ввод пр.Стачки,124,г.Ростов-на-Дону к ПГНД ул.4-я Кольцевая,г.Ростов-на-Дону,аренда</t>
  </si>
  <si>
    <t>Г-ввод пр.Стачки,199,203 г.Ростов-на-Дону к ПГНД пр.Стачки, г.Ростов-на-Дону, аренда</t>
  </si>
  <si>
    <t>Г-ввод пр.Стачки,257А, г.Ростов-на-Дону к ПГСД пр.Стачки, г.Ростов-на-Дону,аренда</t>
  </si>
  <si>
    <t>Г-ввод пр.Стачки,318,г.Ростов-на-Дону, к ПГСД пр.Стачки,г,Ростов-на-Дону,аренда</t>
  </si>
  <si>
    <t>Г-ввод пр.Удачный,8, п. Темерницкий,Аксайский р, стор.</t>
  </si>
  <si>
    <t>Г-ввод р-н комплекса Ростовской таможни.вдоль п.Водопадный,Аксайский р-н,аренда</t>
  </si>
  <si>
    <t>Г-ввод СНТ Братство,669, г.Ростов-на-Дону,стор.</t>
  </si>
  <si>
    <t>Г-ввод СНТ Дон,10а, г.Ростов-на-Дону, к ГНД по тер.СНТ Дон, г.Ростов-на-Дону, стор.</t>
  </si>
  <si>
    <t>Г-ввод снт Женьшень,41, ул.Женьшеневая,26а, г.Ростов-на-Дону,стор.</t>
  </si>
  <si>
    <t>Г-ввод снт Женьшень,41, ул.Женьшеневая,26б, г.Ростов-на-Дону,стор.</t>
  </si>
  <si>
    <t>Г-ввод СНТ Защитник,6/10,г.Ростов-на-Дону,стор.</t>
  </si>
  <si>
    <t>Г-ввод СНТ Инициативный,120,г.Ростов-на-Дону,стор.</t>
  </si>
  <si>
    <t>Г-ввод СНТ Инициативный,122, КН 61:44:0030606:657, г.Ростов-на-Дону,стор.</t>
  </si>
  <si>
    <t>Г-ввод СНТ Инициативный,122, КН 61:44:0030606:658, г.Ростов-на-Дону,стор.</t>
  </si>
  <si>
    <t>Г-ввод СНТ Инициативный,298, г.Ростов-на-Дону, к ГНД СНТ Инициативный, г.Ростов-на-Дону, стор</t>
  </si>
  <si>
    <t>Г-ввод СНТ Урожай, уч-к 2-42 к.н. 61:44:0082612:136,г.Ростов-на-Дону,стор.</t>
  </si>
  <si>
    <t>Г-ввод СТ Космос,284, г.Ростов-на-Дону, стор.</t>
  </si>
  <si>
    <t>Г-ввод СТ Факел-2, уч-к 35,г.Ростов-на-Дону,стор.</t>
  </si>
  <si>
    <t>Г-ввод ул.1-я Круговая,50,г.Ростов-на-Дону,стор.</t>
  </si>
  <si>
    <t>Г-ввод ул.1-я Союзная,37, г.Ростов-на-Дону, стор.</t>
  </si>
  <si>
    <t>Г-ввод ул.14-я Линия,84,г.Ростов-на-Дону, к ГСД ул. 14-я Линия,г.Ростов-на-Дону,аренда</t>
  </si>
  <si>
    <t>Г-ввод ул.2 Поселковый,1В,г.Ростов-на-Дону к НГНД диам.57мм г.Ростов-на-Дону, аренда</t>
  </si>
  <si>
    <t>Г-ввод ул.2-я Авиапромовская,9, г.Ростов-на-Дону, стор.</t>
  </si>
  <si>
    <t>Г-ввод ул.2-я Арсенальная,22/40,г.Ростов-на-Дону, к ГНД ер с/т Авангард-3, г.Ростов-на-Дону, стор.</t>
  </si>
  <si>
    <t>Г-ввод ул.2-я линия,20,ДНТ Гамма-Труд, г.Ростов-на-Дону, стор.</t>
  </si>
  <si>
    <t>Г-ввод ул.2-я Обзорная,6, ДНТ Сирень, уч-к 256, г.Ростов-на-Дону, стор.</t>
  </si>
  <si>
    <t>Г-ввод ул.2-я Романтическая,69/10,СНТ Донпоходг.Ростов-на-Дону, стор.</t>
  </si>
  <si>
    <t>Г-ввод ул.2-я Спасская,14,г.Ростов-на-Дону,стор.</t>
  </si>
  <si>
    <t>Г-ввод ул.20-я Улица,39,г.Ростов-на-дону к ПГНД ул. 20-я Улица,3-й Переулок, г.Ростов-на-Дону,аренда</t>
  </si>
  <si>
    <t>Г-ввод ул.21-я линия,29, г.Ростов-на-Дону, к ГНД ул. 21-я Линия,г.Ростов-на-Дону,аренда</t>
  </si>
  <si>
    <t>Г-ввод ул.3-я Кольцевая,9а, г.Ростов-на-Дону к ПГНД по ул. 3-я Кольцевая, аренда</t>
  </si>
  <si>
    <t>Г-ввод ул.30-летия Октября, 91В, г.Ростов-на-Дону, стор.</t>
  </si>
  <si>
    <t>Г-ввод ул.37 линия,95, нежилое здание, Олейников Р.В. к ГСД по ул.Богданова,Ростов-на-Дону, аренда</t>
  </si>
  <si>
    <t>Г-ввод ул.4-я Городецкая,22, г.Ростов-на-Дону,стор.</t>
  </si>
  <si>
    <t>Г-ввод ул.4-я Ненаглядная,27, СНТ Защитник,21/40,г.Ростов-на-Дону,стор.</t>
  </si>
  <si>
    <t>Г-ввод ул.45-я Линия,20, г.Ростов-на-Дону, к ГСД ул.45-я Линия, г.Ростов-на-Дону, аренда</t>
  </si>
  <si>
    <t>Г-ввод ул.5-й Касательный,34, снт Инициативный,221, г.Ростов-на-Дону,стор.</t>
  </si>
  <si>
    <t>Г-ввод ул.6-я Процветания,31,СНТ "Урожай"г.Ростов-на-Дону к ГНД по тер."Урожай" , аренда</t>
  </si>
  <si>
    <t>Г-ввод ул.7-я Турнирная,39,г.Ростов-на-Дону,стор.</t>
  </si>
  <si>
    <t>Г-ввод ул.Амбулаторная,123, г.Ростов-на-Дону, ул.Амбулаторная,г.Ростов-на-Дону, стор.</t>
  </si>
  <si>
    <t>Г-ввод ул.Белорусская,159,г.Ростов-на-Дону,стор.</t>
  </si>
  <si>
    <t>Г-ввод ул.Вавилова,68, г.Ростов-на-Дону,к ГСД ул.Днепроградская,г.Ростов-на-Дону,аренда</t>
  </si>
  <si>
    <t>Г-ввод ул.Волкова,5в,г.Ростов-на-Дону,ПГНД ул.Волкова,5-7,г.Ростов-на-Дону,аренда</t>
  </si>
  <si>
    <t>Г-ввод ул.Вятская, к.н. 61:44:0021613:10,г.Ростов-на-Дону,стор.</t>
  </si>
  <si>
    <t>Г-ввод ул.Гостеприимная,8, ДНТ Исток,94, г.Ростов-на-Дону,стор.</t>
  </si>
  <si>
    <t>Г-ввод ул.Гранитная,20,х.Камышеваха к ГНД по ул.Гранит,х.Камышев,Аксайский р-н,аренда</t>
  </si>
  <si>
    <t>Г-ввод ул.Димитрова,63,г.Ростов-на-Дону к ПГСД ул.Димитрова,г.Ростов-на-Дону,аренда</t>
  </si>
  <si>
    <t>Г-ввод ул.Днепропетровская,50Д,г.Ростов-на-Дону, заявитель Скибенко В.П.</t>
  </si>
  <si>
    <t>Г-ввод ул.Доватора, кад.№61:44:0070502:19,г.Ростов-на-Дону г.ГНД по ул.Доватора, г.Ростов-,аренда</t>
  </si>
  <si>
    <t>Г-ввод ул.Доватора, ком.зона р-на Левенцовка, к ПГСД ул.Доватора,г.Ростов-на-Дону,аренда</t>
  </si>
  <si>
    <t>Г-ввод ул.Доватора,71б,г.Ростов-на-Дону,стор.</t>
  </si>
  <si>
    <t>Г-ввод ул.Екатерининская,27,п.Темерницкий,Аксайский р-н,стор.</t>
  </si>
  <si>
    <t>Г-ввод ул.Жавель,44, х.Камышеваха,Аксайский р-н, стор.</t>
  </si>
  <si>
    <t>Г-ввод ул.Задонская,3а, г.Ростов-на-Дону, к РГНД ул.Нозадзе, г.Ростов-на-Дону, аренда</t>
  </si>
  <si>
    <t>Г-ввод ул.Зерноградская,37,г.Рстов-на-Дону, к ГНД ул.Зерноградская, г.Ростов-на-Дону, стор.</t>
  </si>
  <si>
    <t>Г-ввод ул.Инициативная,12, г.Ростов-на-Дону к ПГНД по ул.Инициативная, аренда</t>
  </si>
  <si>
    <t>Г-ввод ул.Калиновская,15, г.Ростов-на-Дону к ПГНД ул.Калиновская, г.Ростов-на-Дону, аренда</t>
  </si>
  <si>
    <t>Г-ввод ул.Катаева,289,г.Ростов-на-Дону к ПГНД ул.Катаева,г.Ростов-на-Дону,аренда</t>
  </si>
  <si>
    <t>Г-ввод ул.Каширская,8В,г.Ростов-на-Дону г.ГНД ул.ул.Каширскаяя,г.Ростов-на-Дону,аренда</t>
  </si>
  <si>
    <t>Г-ввод ул.Книжная,111,г.Ростов-на-Дону к ГНД ул.Книжная,г.Ростов-на-Дону, аренда</t>
  </si>
  <si>
    <t>Г-ввод ул.Комсомольская,88/5А, г.Ростов-на-Дону к ГСД по ул. 45-яЛиния, аренда</t>
  </si>
  <si>
    <t>Г-ввод ул.Кооперативная,12А,г.Ростов-на-Дону,ПГНД ул.Кооперат,г.Ростов-на-Дону,аренда</t>
  </si>
  <si>
    <t>Г-ввод ул.Космическая,17,г.Ростов-на-Дону,стор.</t>
  </si>
  <si>
    <t>Г-ввод ул.Кржижановского,245 к РГНД ул.Кржижановского,г.Ростов-на-Дону,аренда</t>
  </si>
  <si>
    <t>Г-ввод ул.Кристальная,14, к.н. 61:02:0600010:11496,х.Камышеваха,Аксайский р-н,стор.</t>
  </si>
  <si>
    <t>Г-ввод ул.Курортная,106/52,г.Ростов-на-Дону,стор.</t>
  </si>
  <si>
    <t>Г-ввод ул.Курортная,119/54,г.Ростов-на-Дону,стор.</t>
  </si>
  <si>
    <t>Г-ввод ул.Курортная,41а,г.Ростов-на-Дону,к ПГНД ул.Горбачева,г.Ростов-на-Дону,аренда</t>
  </si>
  <si>
    <t>Г-ввод ул.Курортная,97/1,г.Ростов-на-Дону,стор.</t>
  </si>
  <si>
    <t>Г-ввод ул.Латунева,13/37, х.Камышеваха,Аксайский р-н, стор.</t>
  </si>
  <si>
    <t>Г-ввод ул.Левобережная,17А г.Ростов-на-Дону к ГСД по ул.Левобережная,г.ростов-на-Дону,аренда</t>
  </si>
  <si>
    <t>Г-ввод ул.Левобережная,2, СНТ Задонье, уч-к 157/3, ст.Ольгинская,Аксайский р-н,стор.</t>
  </si>
  <si>
    <t>Г-ввод ул.Левобережная,2, СНТ Задонье, уч-к 440/3, ст.Ольгинская,Аксайский р-н,стор.</t>
  </si>
  <si>
    <t>Г-ввод ул.Левобережная,2, СНТ Задонье,уч-к 153, кв.1, ст.Ольгинская,Аксайский р-н,стор.</t>
  </si>
  <si>
    <t>Г-ввод ул.Левобережная,2, уч.99,с/т Задонье,ст.Ольгинская к НГНД ст.Ольгинская,Аксайский р-н, аренда</t>
  </si>
  <si>
    <t>Г-ввод ул.Левобережная,4, ст.Донское, уч-к 785, ст.Ольгинская,Аксайский р-н, стор.</t>
  </si>
  <si>
    <t>Г-ввод ул.Левобережная,6 г.Ростов-на-Дону к ГСД по ул.Левобережная,г.ростов-на-Дону,аренда</t>
  </si>
  <si>
    <t>Г-ввод ул.Ленина,161/2,г.Ростов-на-Дону к ГНД по ул.Ленина,г.ростов-на-Дону,аренда</t>
  </si>
  <si>
    <t>Г-ввод ул.Лермонтовская,111,г.Ростов-на-Дону к РГСД пер.Газетный,Ростов-на-Дону, аренда</t>
  </si>
  <si>
    <t>Г-ввод ул.Линейная,110,г.Ростов-на-Дону,стор.</t>
  </si>
  <si>
    <t>Г-ввод ул.Литейная,20, х.Камышеваха,Аксайский р-н, стор.</t>
  </si>
  <si>
    <t>Г-ввод ул.Литовская,40,38,г.Ростов-на-Дону,стор.</t>
  </si>
  <si>
    <t>Г-ввод ул.Магнитогорская,4а,г.Ростов-на-Дону,стор.</t>
  </si>
  <si>
    <t>Г-ввод ул.Мадояна,110/12,г.Ростов-на-Дону,стор.</t>
  </si>
  <si>
    <t>Г-ввод ул.Мадояна,45А/25,г.Ростов-на-Дону к ГНД ул.Мадояна,г.Ростов-на-Дону,аренда</t>
  </si>
  <si>
    <t>Г-ввод ул.Механизаторов,13,г.Ростов-на-Дону, к ГСД ул.Механизаторов,г.Ростов-на-Дону,аренда</t>
  </si>
  <si>
    <t>Г-ввод ул.Мечникова,130,г.Ростов-на-Дону к ПГНД ул.Дранко,Ростов-на-Дону, аренда</t>
  </si>
  <si>
    <t>Г-ввод ул.Мечникова,75,г.Ростов-на-Дону к ПГНД ул.Мечникова,Ростов-на-Дону, аренда</t>
  </si>
  <si>
    <t>Г-ввод ул.Милая,37, г.Ростов-на-Дону,стор.</t>
  </si>
  <si>
    <t>Г-ввод ул.Миронова,2Е,г.Ростов-на-Дону,ГНД ул.Лелюшенко,г.Ростов-на-Дону,аренда</t>
  </si>
  <si>
    <t>Г-ввод ул.Московская,38,п.Темерницкий к ПГНД ул.Раздольной,п.Темерницкий,Аксайский р-н, стор.</t>
  </si>
  <si>
    <t>Г-ввод ул.Мраморная,9, х.Камышеваха,Аксайский р-н, стор.</t>
  </si>
  <si>
    <t>Г-ввод ул.Мурманская,80,г.Ростов-на-Дону к ГНД по ул.Мурманской,г.Ростов-на-Дону,аренда</t>
  </si>
  <si>
    <t>Г-ввод ул.Нансена,255/1, г.Ростов-на-Дону,к ПГНД пер.Казахстанскому,г.Ростов-на-Дону,аренда</t>
  </si>
  <si>
    <t>Г-ввод ул.Народного Ополчения,156, г.Ростов-на-Дону к ПГНД по ул.Народного Ополчения, аренда</t>
  </si>
  <si>
    <t>Г-ввод ул.Орбитальная,3е,г.Ростов-на-Дону, стор.</t>
  </si>
  <si>
    <t>Г-ввод ул.Павлодарская,8, г.Ростов-на-Дону, к ГНД ул.Павлодарская,г.Ростов-на-Дону,аренда</t>
  </si>
  <si>
    <t>Г-ввод ул.Подтелкова,15,г.Ростов-на-Дону,стор.</t>
  </si>
  <si>
    <t>Г-ввод ул.Полторацкого,96а,г.Ростов-на-Дону г.ГНД ул.Полторацкого,96а,г.Ростов-на-Дону,аренда</t>
  </si>
  <si>
    <t>Г-ввод ул.Портовая,63,г.Ростов-на-Дону,стор.</t>
  </si>
  <si>
    <t>Г-ввод ул.Профсоюзная,34,г.Ростов-на-Дону, к ПГНД ул.Профсоюзная,г.Ростов-на-Дону,аренда</t>
  </si>
  <si>
    <t>Г-ввод ул.Радищева,54, г.Ростов-на-Дону, к ГНД ул.Радищева,г.Ростов-на-Дону,аренда</t>
  </si>
  <si>
    <t>Г-ввод ул.Рубиновая,11/2,х.Камышеваха к ПГНД по ул.Рубиновая,х.Камышеваха,Аксайский р-н, аренда</t>
  </si>
  <si>
    <t>Г-ввод ул.Рыцарская,116,г.Ростов-на-Дону к ПГНД по ул.Рыцарская, стор</t>
  </si>
  <si>
    <t>Г-ввод ул.Седова,6/3, г.Ростов-на-Дону, к ГНД ул.Седова,г,Ростов-на-Дону,аренда</t>
  </si>
  <si>
    <t>Г-ввод ул.Скифская,44/51, г.Ростов-на-Дону,стор.</t>
  </si>
  <si>
    <t>Г-ввод ул.Совхозная,39Г,п.Водопадный,АСксайский р, стор.</t>
  </si>
  <si>
    <t>Г-ввод ул.Солидарности,90/30,г.Ростов-на-Дону к ГНД по ул. Солидарности,аренда</t>
  </si>
  <si>
    <t>Г-ввод ул.Спелая,4а,ДНТ Садовод-Любитель,г.Ростов-на-Дону, стор.</t>
  </si>
  <si>
    <t>Г-ввод ул.Ст.Советов,9б, г.Ростов-на-Дону к ГСД по ул. Страны Советов, аренда</t>
  </si>
  <si>
    <t>Г-ввод ул.Стрелковая,34,г.Ростов-на-Дону к ГСД по ул.Стрелковая,г.Ростов-на-Дону,аренда</t>
  </si>
  <si>
    <t>Г-ввод ул.Таймырская,34-36,х.Камышеваха,Аксайский р-н,стор.</t>
  </si>
  <si>
    <t>Г-ввод ул.Текучева,174/99,г.Ростов-на-Дону к РГНД ул.Текучева,г.Ростов-на-Дону,аренда</t>
  </si>
  <si>
    <t>Г-ввод ул.Тибетская,136/2,г.Ростов-на-Дону,стор.</t>
  </si>
  <si>
    <t>Г-ввод ул.Тибетская,53а,г.Ростов-на-Дону,к ПГНД, ул. Зерноградская,аренда</t>
  </si>
  <si>
    <t>Г-ввод ул.Тимошенко,7, г.Ростов-на-Дону,стор.</t>
  </si>
  <si>
    <t>Г-ввод ул.Федоровская,20, п.Темерницкий,Аксайский р-н,стор.</t>
  </si>
  <si>
    <t>Г-ввод ул.Финишная,3,г.Ростов-на-Дону г.ПГНД ул.Финишная,г.Ростов-на-Дону,аренда</t>
  </si>
  <si>
    <t>Г-ввод ул.Ц.Кунникова,9/29,г.Ростов-на-Дону к РГНД по ул.Ц.Кунникова, аренда</t>
  </si>
  <si>
    <t>Г-ввод ул.Ченцова,40, г.Ростов-на-Дону к ПГСД ул.Ченцова,г.Ростов-на-Дону, аренда</t>
  </si>
  <si>
    <t>Г-ввод ул.Черевичкина,106/2,г.Ростов-на-Дону к ГСД по ул.Черевичкина,г.Ростов-на-Дону, аренда</t>
  </si>
  <si>
    <t>Г-ввод ул.Чкалова,24,г.Ростов-на-Дону к ПГНД по ул. Чкалова, аренда</t>
  </si>
  <si>
    <t>Г-ввод ул.Ю-Восточная Промзона,уч.17,г.Ростов-на-Дону к ГСД по пер.1-й Машиностроительный, аренда</t>
  </si>
  <si>
    <t>Г-ввод х.Камышеваха,поле 42б,Аксайский район к.н.61:02:0600010:11319 к ГНД х. Камышеваха,аре аренда</t>
  </si>
  <si>
    <t>Г-вод пер.1-й Атмосферный,5,г.Ростов-на-Дону к ПГНд ул.Космическая,г.Ростов-на-Дону,аренда</t>
  </si>
  <si>
    <t>ПАО "Газпром газораспределение Ростов-на-Дону" в г.Ростов-на-Дону</t>
  </si>
  <si>
    <t xml:space="preserve"> ПАО "Газпром газораспределение Ростов-на-Дону"  в п. Орловском</t>
  </si>
  <si>
    <t>Г-ввод пер.Жлобинский,8,г.Ростов-на-Дону к ГСД по пер.Жлобинский,Ростов-на-Дону, аренда</t>
  </si>
  <si>
    <t>Г-ввод пер.Изумрудный,27,х.Камышеваха к ПГНДпо пер.Изумрудный,Камышеваха,Аксайский р-н, аренда</t>
  </si>
  <si>
    <t>Г-ввод пер.Крепостной,44,г.Ростов-на-Дону к ГНД пер.Крепостной,94,г.Ростов-на-Дону,аренда</t>
  </si>
  <si>
    <t>Г-ввод пер.Малый,23А,г.Ростов-на-Дону к ПГНД по пер.Малый, г.Ростов-на-Дону, аренда</t>
  </si>
  <si>
    <t>Г-ввод пер.Санаторный,6А,г.Ростов-на-Дону к ПГСД по пер.Санаторный, аренда</t>
  </si>
  <si>
    <t>Г-ввод пер.Тебердинский,36,г.Ростов-на-Дону г.ГНД пер.Тебердинский,г.Ростов-на-Дону,аренда</t>
  </si>
  <si>
    <t>Г-ввод пр.М.Нагибина,41, г.Ростов-на-Дону к ПГНД по пр.М.Нагибина, аренда</t>
  </si>
  <si>
    <t>Г-ввод пр.Ставского-ул.Профсоюзная,г.Ростов-на-Дону к ПГНД диам.57мм,пр20,2пм.по ул.Ставского,аренда</t>
  </si>
  <si>
    <t>ПГСД пр.Стачки,28,г.Ростов-на-Дону, аренда</t>
  </si>
  <si>
    <t>Г-ввод пр.Стачки,342,г.Ростов-на-Дону к ПГНД по пр.Стачки, г.Ростов-на-Дону,аренда</t>
  </si>
  <si>
    <t>Г-ввод ул.1-я Майская,5/9, г.Ростов-на-Дону к ПРГНД по ул.18-я Линия,г.Ростов-на-Дону, аренда</t>
  </si>
  <si>
    <t>Г-ввод ул.Береговая,37/1,г.Ростов-на-Дону к ПГСД диам.76мм по ул.Береговая,г.Ростов-н/Д,аренда</t>
  </si>
  <si>
    <t>Г-ввод ул.Береговая,59,г.Ростов-на-Дону к ГНД ул.Береговая,г.Ростов-на-Дону,аренда</t>
  </si>
  <si>
    <t>Г-ввод ул.Вавилова,71 Д/1,г.Ростов-на-Дону к ПГСД в г.Ростове-на-Дону по ул.Вавилова, аренда</t>
  </si>
  <si>
    <t>Г-ввод ул.Калиновская,55,г.Ростов-на-Дону к ПГНД по ул.Калиновская,Ростов-на-Дону, аренда</t>
  </si>
  <si>
    <t>Г-ввод ул.Механизаторов,8А, г.Ростов-на-Дону к ПГСД по ул.Механизаторов,8 и Конституционной, аренда</t>
  </si>
  <si>
    <t>Г-ввод ул.Очаковская,88,г.Ростов-на-Дону к ГНД ул.Очаковская,г.Ростов-на-Дону,аренда</t>
  </si>
  <si>
    <t>Г-ввод ул.Портовая,257/27,г.Ростов-на-Дону г.ГНД ул.Портовая,г.Ростов-на-Дону,аренда</t>
  </si>
  <si>
    <t>Г-ввод ул.Серова,18а,г.Ростов-на-Дону к ГНД по ул.Серова,г.Ростов-на-Дону,аренда</t>
  </si>
  <si>
    <t>Г-ввод ул.Стрелковая,40А,г.Ростов-на-Дону к ПГНД д. до90мм по ул.Стрелковая,г.Ростов-на-Дону,аренда</t>
  </si>
  <si>
    <t>Г-ввод ул.Текучева,113,г.Ростов-на-Дону г.ГНД ул.Текучева,г.Ростов-на-Дону,аренда</t>
  </si>
  <si>
    <t>Г-ввод ул.Ленина,2-в,с.Троицкое,к ПГ от АГРС с.Троиц.молоч.комплекс,ул.Строит.Неклиновкий.р-н,аренда</t>
  </si>
  <si>
    <t>Г-ввод ул.Морская,41южная часть села Самбек,ПГ с.Самбек,х.Курлацкий от АГРС, Неклиновский р-н,аренда</t>
  </si>
  <si>
    <t>ГВД п.Магистральный, ул.Красноармейская, п.Орловский, инв.000013180</t>
  </si>
  <si>
    <t>ГСНД ст. Буденновская, Пролетарского района, инв.00013045</t>
  </si>
  <si>
    <t>ТП (телеметрия)  ГРП №2,ул.Комсомольская,51,с.Александровка,Мясниковский р-н</t>
  </si>
  <si>
    <t>ТП (телеметрия)  ГРП №32,пр.Платовский,2,г.Новочеркасск</t>
  </si>
  <si>
    <t>ТП (телеметрия)  ГРП №46,пер.Цимлянский,г.Новочеркасск</t>
  </si>
  <si>
    <t>ТП (телеметрия)  ГРП №87,ул.Булавина,г.Новочеркасск</t>
  </si>
  <si>
    <t>ТП (телеметрия)  ГРПБ №1/1, Новоалександровка, промзона, Азовский р-н</t>
  </si>
  <si>
    <t>ТП (телеметрия)  ГРПШ №101, ул.Центральная,Молодежная,х.Железнодорожный, Цимлянский р-н</t>
  </si>
  <si>
    <t>ТП (телеметрия)  ГРПШ №108,ул.Главная,14, х.Богатырев, Цимлянский р-н</t>
  </si>
  <si>
    <t>ТП (телеметрия)  ГРПШ №110, ул.Речная,1, ст.Новоцимлянская, Цимлянский р-н</t>
  </si>
  <si>
    <t>ТП (телеметрия)  ГРПШ №111, ул.Театральная,2, ст.Новоцимлянская, Цимлянский р-н</t>
  </si>
  <si>
    <t>ТП (телеметрия)  ГРПШ №124, центральная бригада №4, х.Карповский,Цимлянский р-н</t>
  </si>
  <si>
    <t>ТП (телеметрия)  ГРПШ №16, ул.Гагарина, г.Волгодонск</t>
  </si>
  <si>
    <t>ТП (телеметрия)  ГРПШ №218, х.Новополтавский, Азовский р-н</t>
  </si>
  <si>
    <t>ТП (телеметрия)  ГРПШ-13-2Н-У1 ул.Гагарина,44, г.Гуково</t>
  </si>
  <si>
    <t>ТП (телеметрия)  ГРПШ-13-2Н-У1 ул.Криворожская,48, г.Гуково</t>
  </si>
  <si>
    <t>ТП (телеметрия)  ГРПШ-13-2Н-У1 ул.Мира,3, г.Гуково</t>
  </si>
  <si>
    <t>ТП (телеметрия)  ГРПШ-13-2Н-У1 ул.Семилетки,12, г.Гуково</t>
  </si>
  <si>
    <t>ТП (телеметрия)  ГСГО-00, ул.Переездная,56, г.Гуково</t>
  </si>
  <si>
    <t>ТП (телеметрия)  ШРП №106,пер.Одесский, х.Татарка,г.Новочеркасск</t>
  </si>
  <si>
    <t>ТП (телеметрия)  ШРП №113,ст.Бессергеневская,Октябрьский р-н</t>
  </si>
  <si>
    <t>ТП (телеметрия)  ШРП №131,ст.Бессергеневская,Октябрьский р-н</t>
  </si>
  <si>
    <t>ТП (телеметрия)  ШРП №139,ул.Северная,ст.Заплавская,Октябрьский р-н</t>
  </si>
  <si>
    <t>ТП (телеметрия)  ШРП №140,ул.Северная,ст.Заплавская,Октябрьский р-н</t>
  </si>
  <si>
    <t>ТП (телеметрия)  ШРП №141,ул.Первомайская,Гаражный,ст.Заплавская,Октябрьский р-н</t>
  </si>
  <si>
    <t>ТП (телеметрия)  ШРП №164, ул.Коммунальная,х.Коньков, Боковский р-н</t>
  </si>
  <si>
    <t>ТП (телеметрия)  ШРП №2,ул.Совхозная,2, г.Ростов-на-Дону</t>
  </si>
  <si>
    <t>ТП (телеметрия)  ШРП №20,пер.1-й Колхозный, г.Ростов-на-Дону</t>
  </si>
  <si>
    <t>ТП (телеметрия)  ШРП №474, ул.Калинина, около столовой, х.Красный Кут, Октябрьский р-н</t>
  </si>
  <si>
    <t>ТП (телеметрия)  ШРП №559, ул.Школьная, возле школы, х.Верхнегрушевский, Октябрьский р-н</t>
  </si>
  <si>
    <t>ТП (телеметрия)  ШРП №569, ул.Каштановая,г.Шахты</t>
  </si>
  <si>
    <t>ТП (телеметрия)  ШРП №575, ул.Дачная,в поле ПКО, п.Привольный,Ремонтненский р-н</t>
  </si>
  <si>
    <t>ТП (телеметрия)  ШРП №661, пер.Почтовый, возле забора Биф-Агро, сл.Красюковская,Октябрьски й р-н</t>
  </si>
  <si>
    <t>ТП (телеметрия)  ШРП №685 поле, п.Каменоломни,Октябрьский р-н</t>
  </si>
  <si>
    <t>ТП (телеметрия)  ШРП №696, ул.Коммунальная,г.Шахты</t>
  </si>
  <si>
    <t xml:space="preserve">ТП (телеметрия)  ШРП №744, пер.Нагорный, п.Аюта, Октябрьский р-н </t>
  </si>
  <si>
    <t>ТП (телеметрия)  ШРП №759, пер.Студенческий,г.Шахты</t>
  </si>
  <si>
    <t>ТП (телеметрия)  ШРП №855, ул.Беломорская,г.Шахты</t>
  </si>
  <si>
    <t>ТП (телеметрия) 11 участок, с.Беглицкая Коса, Неклиновский р-н</t>
  </si>
  <si>
    <t>ТП (телеметрия) весовая,с.Ивановка, Неклиновский р-н</t>
  </si>
  <si>
    <t>ТП (телеметрия) водонапорная башня,с.Ново-Бессергеновка, Неклиновский р-н</t>
  </si>
  <si>
    <t>ТП (телеметрия) ГПРШ №223, ул.Молодежная, 1, х.Харьковский, Азовский р-н</t>
  </si>
  <si>
    <t>ТП (телеметрия) ГРП №31,пр.Платовский,2,г.Новочеркасск</t>
  </si>
  <si>
    <t>ТП (телеметрия) ГРПШ №255, пер.Дзержинского, Садовый, с.Семибалки, Азовский р-н</t>
  </si>
  <si>
    <t>ТП (телеметрия) ГРПШ №271, ул.Центральная, х.Чумбур-Коса, Азовский р-н</t>
  </si>
  <si>
    <t>ТП (телеметрия) ГРПШ №277, ул.Спортивная, с.Маргаритово, Азовский р-н</t>
  </si>
  <si>
    <t>ТП (телеметрия) ГРПШ №282, пер.Малый,Кубанский,с.Новомаргаритово, Азовский р-н</t>
  </si>
  <si>
    <t>ТП (телеметрия) ГРПШ №288,ул.Степная, с.Порт-Катон, Азовский р-н</t>
  </si>
  <si>
    <t>ТП (телеметрия) ГРПШ №31,ул.Азовская,на въезде, с.Васильево-Петровское, Азовский р-н</t>
  </si>
  <si>
    <t>ТП (телеметрия) ГРПШ №380, ул.Школьная, п.Семенкин, Волгодонской р-н</t>
  </si>
  <si>
    <t>ТП (телеметрия) ГРПШ №381, ул.Надежды, п.Сибирьковый, Волгодонской р-н</t>
  </si>
  <si>
    <t>ТП (телеметрия) ГРПШ №4, администрация, х.Рогожкино, Азовский р-н</t>
  </si>
  <si>
    <t>ТП (телеметрия) ГРПШ №56, ул.Лесная,ст.Лозновская, Цимлянский р-н</t>
  </si>
  <si>
    <t>ТП (телеметрия) ГРПШ №57, ул.Морская, х.Полушкино, Азовский р-н</t>
  </si>
  <si>
    <t>ТП (телеметрия) ГРПШ №60,ул.Полевая,х.Рынок-Кагальский, Цимлянский р-н</t>
  </si>
  <si>
    <t>ТП (телеметрия) ГРПШ №665, п.Саловский, Волгодонской р-н</t>
  </si>
  <si>
    <t>ТП (телеметрия) ГРПШ-05-2У1 ул.Мичурина,2, г.Гуково</t>
  </si>
  <si>
    <t>ТП (телеметрия) д.сад у котельной,с.Ново-Бессергеновка, Неклиновский р-н</t>
  </si>
  <si>
    <t>ТП (телеметрия) котельная рыбцеха,с.Приморка, Неклиновский р-н</t>
  </si>
  <si>
    <t>ТП (телеметрия) МЦВРИ с.Синявское, Неклиновский р-н</t>
  </si>
  <si>
    <t>ТП (телеметрия) олифоварка, х.Рожок, Неклиновский р-н</t>
  </si>
  <si>
    <t>ТП (телеметрия) ПК 40+15, с.Григорьевка, Матвеево-Курганский р-н</t>
  </si>
  <si>
    <t>ТП (телеметрия) пос.Первомайский, Красносулинский р-н</t>
  </si>
  <si>
    <t>ТП (телеметрия) с.Новостроенка, Неклиновский р-н</t>
  </si>
  <si>
    <t>ТП (телеметрия) СКЗ с. Сандата, Сальский р</t>
  </si>
  <si>
    <t>ТП (телеметрия) СКЗ ул. Комарова, п. Гигант, Сальский р</t>
  </si>
  <si>
    <t>ТП (телеметрия) СКЗ ул. Степная, п. Приречный, Сальский р</t>
  </si>
  <si>
    <t>ТП (телеметрия) СКЗ ул. Трактовая, п. Гигант, Сальский р</t>
  </si>
  <si>
    <t>ТП (телеметрия) СКЗ ул. Чижова-Королева, г. Пролетарск</t>
  </si>
  <si>
    <t>ТП (телеметрия) тер.ЗАО Сармат, с.Андреево-Мелентьево, Неклиновский р-н</t>
  </si>
  <si>
    <t>ТП (телеметрия) ТП №384, с.Большекирсаново, Матвеево-Курганский р-н</t>
  </si>
  <si>
    <t>ТП (телеметрия) у бригады с.Беглицкая Коса, Неклиновский р-н</t>
  </si>
  <si>
    <t>ТП (телеметрия) у сельмага, с.Боково, Неклиновский р-н</t>
  </si>
  <si>
    <t>ТП (телеметрия) у столовой, с.Носово, Неклиновский р-н</t>
  </si>
  <si>
    <t>ТП (телеметрия) у ТП х.Балка,пос.Ленинский, Матвеево-Курганский р-н</t>
  </si>
  <si>
    <t>ТП (телеметрия) у ТП, с.Николаевка, Неклиновский р-н</t>
  </si>
  <si>
    <t>ТП (телеметрия) у ШРП,сл.Советка, Неклиновский р-н</t>
  </si>
  <si>
    <t>ТП (телеметрия) ул.1-я Зверевская,х.Марс, Красносулинский р-н</t>
  </si>
  <si>
    <t>ТП (телеметрия) ул.81 МСБ- 50 лет ВЛКСМ, г.Пролетарск</t>
  </si>
  <si>
    <t>ТП (телеметрия) ул.Гагарина, бригада, х.Хапры, Мясниковский р-н</t>
  </si>
  <si>
    <t>ТП (телеметрия) ул.Котовского, г.Сальск</t>
  </si>
  <si>
    <t>ТП (телеметрия) ул.Ленина, с.Троицкое, Неклиновский р-н</t>
  </si>
  <si>
    <t>ТП (телеметрия) ул.Ленина,49,с.Новоотрадное, Неклиновский р-н</t>
  </si>
  <si>
    <t>ТП (телеметрия) ул.Молодежная,13,с.Васильево-Ханжоновка, Неклиновский р-н</t>
  </si>
  <si>
    <t>ТП (телеметрия) ул.Радужная,, 91, г.Волгодонск</t>
  </si>
  <si>
    <t>ТП (телеметрия) ул.Садовая,с.Бессергеновка, Неклиновский р-н</t>
  </si>
  <si>
    <t>ТП (телеметрия) ул.Севастопольская,СКЗ, г.Сальск</t>
  </si>
  <si>
    <t>ТП (телеметрия) ул.Степная,с.Лакедемоновка, Неклиновский р-н</t>
  </si>
  <si>
    <t>ТП (телеметрия) ул.Хорошилова,с.Ефремовка, Неклиновский р-н</t>
  </si>
  <si>
    <t>ТП (телеметрия) ул.Чижова, Скибы, г.Пролетарск</t>
  </si>
  <si>
    <t>ТП (телеметрия) ул.Энгельса,пер.Стахановский,с.Петрушино, Неклиновский р-н</t>
  </si>
  <si>
    <t xml:space="preserve">ТП (телеметрия) х.Александровка, Аксайский р-н </t>
  </si>
  <si>
    <t>ТП (телеметрия) холодильник, с.Золотая Коса, Неклиновский р-н</t>
  </si>
  <si>
    <t>ТП (телеметрия)ГРП ,30, ул. Северная, РОЖОК, Таганрог</t>
  </si>
  <si>
    <t>ТП (телеметрия)ГРПШ-07-2У1 ул.Лихачева,47 г.Гуково</t>
  </si>
  <si>
    <t>ТП (телеметрия)СКЗ Мариупольское шоссе,(кафе Медведи), Таганрог</t>
  </si>
  <si>
    <t>ТП (телеметрия)СКЗ ул. октябрьская (у магазина), с. Синявское,Неклиновский р</t>
  </si>
  <si>
    <t>ТП (телеметрия)ЭЗУ 1 , ул. Большая, х. Кривянский, Октябрьский р</t>
  </si>
  <si>
    <t>ТП (телеметрия)ЭЗУ, 241, ул. Садовая, г. Новочеркасск</t>
  </si>
  <si>
    <t>ТП (телеметрия)ЭЗУ, ст. Бессергеневская, Октябрьский р</t>
  </si>
  <si>
    <t>ТП (телеметрия)ЭЗУ, х. Яново-Грушевский, Октябрьский р-н</t>
  </si>
  <si>
    <t>ТП (телеметрия)ЭЗУ,ст. Кривянская ( у насосной водоканала), Октябрьский р</t>
  </si>
  <si>
    <t>ТП (телеметрия) ГРПШ №61, ул.Центральная,13, х.Карпов, Цимлянский р-н</t>
  </si>
  <si>
    <t>ПТ (телеметрия) ул.Дзержинского,11, с.Троицкое, Неклиновский р-н</t>
  </si>
  <si>
    <t>ГВД (рек) ст.Новозолотовская,Донские Зори, Семикаракорский р-н, инв.32-30273</t>
  </si>
  <si>
    <t>ГВД с ШРП п.Овощной,Азовский р-н</t>
  </si>
  <si>
    <t>ГВСД с ШРП п.Красный Сад, Азовский р-н</t>
  </si>
  <si>
    <t>МГВД х.Верхняковский,Михайловский,Верхнедонской р-н</t>
  </si>
  <si>
    <t>МГВД х.Хмызов,Малахов,Еритовка,Миллеровский р-н</t>
  </si>
  <si>
    <t>Г-ввод ВД ул.Совхозная,32А,котельная,г.Ростов-на-Дону</t>
  </si>
  <si>
    <t>Г-ввод СД пр.Королева,1в для автосалона г.Ростов-на-Дону</t>
  </si>
  <si>
    <t>Г-ввод ул.Бакунина,21,г.Новочеркасск жилые дома</t>
  </si>
  <si>
    <t>Г-ввод ул.Дебальцевская,8А,комплекс жилых домов,г.Ростов-на-Дону</t>
  </si>
  <si>
    <t>Г-ввод ул.Ленина,5/1, многкварт.жил.дома, г.Аксай,Аксайский р-н</t>
  </si>
  <si>
    <t>Г-ввод ДНТ Ростсельмашевец-2, п.Ковалевка,Аксайский р-н</t>
  </si>
  <si>
    <t>Навесы для хранения материалов ул.Калинина,25,г.Белая Калитва</t>
  </si>
  <si>
    <t>ГНД (рек) вынос уч-ка г-да ул.Б.Куликова,г.Семикаракорск,инв.000013218</t>
  </si>
  <si>
    <t>ТП ГРПШ ул.Кирова,с.Николаевка,Песчанокопский р-н, инв.27-00130</t>
  </si>
  <si>
    <t>ТП ГРПШ ул.Московская,с.Летник, Песчаноковский р-н, инв.27-04098</t>
  </si>
  <si>
    <t>ТП ГРПШ ул.Советская,с.Красная Поляна, Песчанокопский р-н, инв.27-04112</t>
  </si>
  <si>
    <t>ТП зап.устр-во на ГВД от Сальской ГРС ул.Трактовая,1, г.Сальск, инв.31-03120</t>
  </si>
  <si>
    <t>Г-ввод в районе Объездного и ул. Московской ,г.Азов к ГНД по ул.Железнод. от ул.Тимирязева до заглушки в гАзове,аренда</t>
  </si>
  <si>
    <t>Г-ввод ДНТ Мичуринец-3, уч-к 2084,, г.Азов,стор.</t>
  </si>
  <si>
    <t>Г-ввод пер.Братский,58,с. Новобатайск Кагальницкий р р-н,стор.</t>
  </si>
  <si>
    <t>Г-ввод пер.Карьерный,22Б.г.Азов к ГНД ул.Нагорная,Красногор,г.Азов,аренда</t>
  </si>
  <si>
    <t>Г-ввод пер.Ленина,189,с.Самарское,к ГНД ул.Ленина,Северной,с.Самарское,Азовский р-н,аренда</t>
  </si>
  <si>
    <t>Г-ввод пер.Луговой,21А,х.Береговой,Азовский р-н,стор.</t>
  </si>
  <si>
    <t>Г-ввод пер.Молодежный,3,с.Самарское к РГНД ул.Юбилейная, Самара-нефть,Азовский р-н,аренда</t>
  </si>
  <si>
    <t>Г-ввод пер.Петровский,2,с.Самарское,ГНД ул.Строительная,пер.Кооперат, Азовский р-н,</t>
  </si>
  <si>
    <t>Г-ввод пер.Промышленный,73а с.Самарское,Азовский р-н,аренда</t>
  </si>
  <si>
    <t>Г-ввод пер.Солнечный,14,с.Самарское,РГНД ул.Строит,Коопер,с.Самарское,Азовский р-н,аренда</t>
  </si>
  <si>
    <t>Г-ввод пер.Солнечный,9А,с.Самарское,РГНД ул.Строит,Коопер,с.Самарское,Азовский р-н,аренда</t>
  </si>
  <si>
    <t>Г-ввод пер.Ткачевский,42,с. Новобатайск, Кагальницкий р-н, стор.</t>
  </si>
  <si>
    <t>Г-ввод СТ Дружба,71,г.Азов,стор.</t>
  </si>
  <si>
    <t>Г-ввод ул.60 лет Октября,51Б,х. Новоалександровка, Азовский р, аренда</t>
  </si>
  <si>
    <t>Г-ввод ул.Азовская,1 (маг),с.Кулешовка,к ГНД ул.Новая,пер.Дачный,с.Кулешовка,Азовский р-н,аренда</t>
  </si>
  <si>
    <t>Г-ввод ул.Аксайская,28 Б,ДНТ Луч,Азовский р-н,стор.</t>
  </si>
  <si>
    <t>Г-ввод ул.Буденного,138,х.Пешково,Азовский р-н,стор.</t>
  </si>
  <si>
    <t>Г-ввод ул.Дружбы,42,г.Азов,к ГСД ул.Дружбы, котельная РСМ г.Азов,стор.</t>
  </si>
  <si>
    <t>Г-ввод ул.Кирова,11А,с.Новотроицкое,К ГНД ул.Кирова,с.Новотроицкое,Азовский р-н,аренда</t>
  </si>
  <si>
    <t>Г-ввод ул.Космонавтов,21,ДНТ Луч,Азовский р-н.стор.</t>
  </si>
  <si>
    <t>Г-ввод ул.Космонавтов,9,п.Койсуг,Азовский р-н,стор.</t>
  </si>
  <si>
    <t>Г-ввод ул.Ленина,29,с.Новониколаевка,Азовский р-н,стор.</t>
  </si>
  <si>
    <t>Г-ввод ул.Ленина,39А.п.Овощной,ГНД ул.Горького,Ленина,п.Овощной,Азовский р-н,аренда</t>
  </si>
  <si>
    <t>Г-ввод ул.Луговая,27,с.Кочеванчик,Азовский р-н,стор.</t>
  </si>
  <si>
    <t>Г-ввод ул.М.Горького,703А,п.Койсуг, РГСД к центральной усадьбе п.Койсуг,Азовский р-н,аренда</t>
  </si>
  <si>
    <t>Г-ввод ул.Мира,5,с.Займо-Обрыв,Азовский р-н,стор.</t>
  </si>
  <si>
    <t>Г-ввод ул.Морозовская,20,с.Новомаргаритово,Азовский р-н,стор.</t>
  </si>
  <si>
    <t>Г-ввод ул.Ореховая,27,г.Азов,стор.</t>
  </si>
  <si>
    <t>Г-ввод ул.Островского,4А,п.Овощной,к ГНД ул.Горького,Ленина,Кравченко,Азовский р-н,аренда</t>
  </si>
  <si>
    <t>Г-ввод ул.Приморская,102,с.Семибалки,Азовский р-н,стор.</t>
  </si>
  <si>
    <t>Г-ввод ул.Пушкина,21,х.Береговой,Азовский р-н,стор.</t>
  </si>
  <si>
    <t>Г-ввод ул.Ушакова,14,г.Азов,стор.</t>
  </si>
  <si>
    <t>Г-ввод ул.Чапаева,23,с.Головатовка,Азовский р-н,стор.</t>
  </si>
  <si>
    <t>Г-ввод ул.Школьная,9,с.Кагальник,Азовский р-н,стор.</t>
  </si>
  <si>
    <t>Г-ввод ул.Энгельса,96А,х.Пешково,Азовский р-н,стор.</t>
  </si>
  <si>
    <t>Г-ввод ул.Юбилейная,9,с.Самарское,Азовский р-н,стор.</t>
  </si>
  <si>
    <t>Г-ввод улАханова,9,х.Обуховка, Азовский р-н,стор.</t>
  </si>
  <si>
    <t>ГНД (зак) ул.Ленина от Кооперативной до пер. Рыбацкий с Кагальник,Азовский район, инв.000014451</t>
  </si>
  <si>
    <t>Г-ввод ДНП Агро-клуб Усадьба,24-308,х.Махин,Аксайский р-н,стор.</t>
  </si>
  <si>
    <t>Г-ввод ДНП Агро-клуб Усадьба,30-390,х.Махин,Аксайский р-н,стор.</t>
  </si>
  <si>
    <t>Г-ввод ДНП Агро-клуб Усадьба,9-120,х.Махин,Аксайский р-н,стор.</t>
  </si>
  <si>
    <t>Г-ввод пер.Новый,8-А.ст.Ольгинская,Аксайский р-н,стор.</t>
  </si>
  <si>
    <t>Г-ввод пер.Ореховый,109,г.Аксай,стор.</t>
  </si>
  <si>
    <t>Г-ввод ул.2-я Линия,496,ДНТ Алмаз,Аксайский р-н,стор.</t>
  </si>
  <si>
    <t>Г-ввод ул.Абрикосовая,850, СНТ Содружество,Аксайский р-н, стор.</t>
  </si>
  <si>
    <t>Г-ввод ул.Адмирала Кузнецова,20,п.Щепкин,Аксайский р-н,стор.</t>
  </si>
  <si>
    <t>Г-ввод ул.Адмирала Кузнецова,27,п.Щепкин,Аксайский р-н,стор.</t>
  </si>
  <si>
    <t>Г-ввод ул.Адмирала Сорокина,14,п.Щепкин,Аксайский р-н,стор.</t>
  </si>
  <si>
    <t>Г-ввод ул.Адмирала Сорокина,15,п.Щепкин,Аксайский р-н,стор.</t>
  </si>
  <si>
    <t>Г-ввод ул.Адмирала Сорокина,72,п.Щепкин,Аксайский р-н,стор.</t>
  </si>
  <si>
    <t>Г-ввод ул.Андреевская,8 г.Аксай, стор.</t>
  </si>
  <si>
    <t>Г-ввод ул.Асфальтная,3-в, п. Дорожный, Аксайский р стор.</t>
  </si>
  <si>
    <t>Г-ввод ул.Асфальтная,3-ж, п. Дорожный, Аксайский р стор.</t>
  </si>
  <si>
    <t>Г-ввод ул.Березовая,1920, СНТ Содружество,Аксайский р-н, стор.</t>
  </si>
  <si>
    <t>Г-ввод ул.Васильковая,420,СНТ Содружество,Аксайский р-н,стор.</t>
  </si>
  <si>
    <t>Г-ввод ул.Вербная,14-А,г.Аксай,стор.</t>
  </si>
  <si>
    <t>Г-ввод ул.Владимирская,25,г. Аксай,Аксайский р-н,стор.</t>
  </si>
  <si>
    <t>Г-ввод ул.Восточная,11,п.Рассвет,Аксайский р-н</t>
  </si>
  <si>
    <t>Г-ввод ул.Гагарина,104, п.Октябрьский, Аксайский р-н ,стор.</t>
  </si>
  <si>
    <t>Г-ввод ул.Ермака,8,п.Реконструктор, Аксайский р-н, стор</t>
  </si>
  <si>
    <t>Г-ввод ул.Жданова,11,г.Аксай,Аксайский р-н,стор.</t>
  </si>
  <si>
    <t>Г-ввод ул.Красноармейская,84, ст. Ольгинская,,Аксайский р-н,стор.</t>
  </si>
  <si>
    <t>Г-ввод ул.Ленина,71, х. Ленина ,Аксайский р-н,стор.</t>
  </si>
  <si>
    <t>Г-ввод ул.Оливковая,9/7,п.Российский,Аксайский р-н,стор.</t>
  </si>
  <si>
    <t>Г-ввод ул.Персиковая,2316, лит.А, СНТ Содружество,Аксайский р-н, стор.</t>
  </si>
  <si>
    <t>Г-ввод ул.Персиковая,2316, лит.Б,СНТ Содружество,Аксайский р-н,стор.</t>
  </si>
  <si>
    <t>Г-ввод ул.Производственная,31а,п.Российский,Аксайский р-н, стор.</t>
  </si>
  <si>
    <t>Г-ввод ул.Просторная,22,п.Октябрьский,Аксайский р-н,стор.</t>
  </si>
  <si>
    <t>Г-ввод ул.Пушкина,20,х.Большой Лог,к внеплощ.сетям кирпичного завода, Аксайский р-н,аренда</t>
  </si>
  <si>
    <t>Г-ввод ул.Роз, 2418, снт Содружество, Аксайский р-н, стор.</t>
  </si>
  <si>
    <t>Г-ввод ул.Садовая,36,п.Реконструктор к ПГНД по ул.Садовая, п. Реконструктор,Аксайский р-н, аренда</t>
  </si>
  <si>
    <t>Г-ввод ул.Сосновая, 1955, снт Содружество, Аксайский р-н, стор.</t>
  </si>
  <si>
    <t>Г-ввод ул.Сосновая, 2435, снт Содружество, Аксайский р-н, стор.</t>
  </si>
  <si>
    <t>Г-ввод ул.Строителей,48, п.Щепкин,Аксайский р-н, стор.</t>
  </si>
  <si>
    <t>Г-ввод ул.Фадеева,72-Г,х.Большой Лог,Аксайский р-н, стор.</t>
  </si>
  <si>
    <t>ГНД от №17 по ул.Кирова до стр.№1, ул.Кирова,г.Аксай,инв.01-00174</t>
  </si>
  <si>
    <t>ГНД ул.Пионерская от ул.Луначарского до ул.Фрунзе, г.Аксай, инв.01-00186</t>
  </si>
  <si>
    <t>ГНД х.Большой Лог ул.Фадеева от ж.д.№189 до ж.д.№70, Аксайский р-н,инв. 01-00989</t>
  </si>
  <si>
    <t>ГНД ст.Манычская,Багаевский р-н, инв.01-00865</t>
  </si>
  <si>
    <t>Г-ввод ул.Спортсменская,10,ст.Багаевская,Багаевский р-н,стор.</t>
  </si>
  <si>
    <t>Г-ввод пер.Изумрудный,14,ст.Романовская,Волгодонской р-н,стор.</t>
  </si>
  <si>
    <t>Г-ввод пер.Пионерский,14,ст.Красноярская,Цимлянский р-н,стор.</t>
  </si>
  <si>
    <t>Г-ввод ул. Гагрина,49А, ст. Романовская, Волгодонской р,стор</t>
  </si>
  <si>
    <t>Г-ввод ул. Изумрудный,10А, ст. Романовская, Волгодонской р,стор</t>
  </si>
  <si>
    <t>Г-ввод ул.Березовая,34,х.Парамонов,Волгодонской р-н,стор.</t>
  </si>
  <si>
    <t>Г-ввод ул.Пионерская,34,ст.Дубенцовская,Волгодонской р-н,стор.</t>
  </si>
  <si>
    <t>Г-ввод ул.Советская,32,ст.Красноярская,Цимлянский р-н,стор.</t>
  </si>
  <si>
    <t>Г-ввод ул.Соловьевых,41а,ст.Романовская,Волгодонской р-н,стор.</t>
  </si>
  <si>
    <t>Г-ввод,ул.Доброхотских,33х.Михайловка,Красносулинский район,стор.</t>
  </si>
  <si>
    <t>Г-ввод,ул.Доброхотских,34х.Михайловка,Красносулинский район,стор.</t>
  </si>
  <si>
    <t>Г-ввод,ул.Доброхотских,47х.Михайловка,Красносулинский район,стор.</t>
  </si>
  <si>
    <t>Г-ввод,ул.Зеленая 16х.Михайловка,Красносулинский район,стор.</t>
  </si>
  <si>
    <t>Г-ввод,ул.Зеленая 33х.Михайловка,Красносулинский район,стор.</t>
  </si>
  <si>
    <t>Г-ввод,ул.Зеленая 49х.Михайловка,Красносулинский район,стор.</t>
  </si>
  <si>
    <t>Г-ввод,ул.Комсомольская 50,г.Гуково,стор.</t>
  </si>
  <si>
    <t>Г-ввод,ул.Юбилейная 1х.Михайловка,Красносулинский район,стор.</t>
  </si>
  <si>
    <t>Г-ввод,ул.Юбилейная  8 А,х.Михайловка,Красносулинский район,стор.</t>
  </si>
  <si>
    <t>РГ от ШРП № 11  п.ш.Ростовская,г.Гуково,инв.000013821</t>
  </si>
  <si>
    <t>РГ х.Гуково Красносулинского район</t>
  </si>
  <si>
    <t>Газопровод-ввод ул.Каменская,83к "Тех.перевооружение сети газопотребления ч прокладкой ГСД,установкой ШРП для газификации птицефермы", принадлежит Строителеву О.П.</t>
  </si>
  <si>
    <t>РГ для газ.ж.д. в гр.ул.Краснова, пер.Азовский, Черноморский инв.№000015618</t>
  </si>
  <si>
    <t>РГ ул.Некрасова, Серафимовича, пер.Волгоградский, ул.У.Громовой, пер.Клубный инв.№000017065</t>
  </si>
  <si>
    <t>по мере подключения (тех.присоединении) объектов частных домовладений населения, пост.1314</t>
  </si>
  <si>
    <t>РГ х. Макарьев (1 этап) инв.№000015805</t>
  </si>
  <si>
    <t>РГ х. Макарьев (2 этап) инв.№000016158</t>
  </si>
  <si>
    <t>Г-ввод ул.50 лет Советской Армии,79Б,п.Целина,Целинский р-н,стор.</t>
  </si>
  <si>
    <t>Г-ввод ул.Батюшинская,99,х.Верхнесоленый,Веселовский р-н,стор.</t>
  </si>
  <si>
    <t>Г-ввод ул.Красноармейская,42,п.Веселый,Веселовский р-н, стор.</t>
  </si>
  <si>
    <t>Г-ввод ул.Ленинская,32а,п. Веселый, Веселовский р-н,стор.</t>
  </si>
  <si>
    <t>Г-ввод ул.Нестерова,11,г.Зерноград, стор.</t>
  </si>
  <si>
    <t>Г-ввод ул.Нестерова,5 к ГПСД ул.Нестерова, г.Зерноград, стор.</t>
  </si>
  <si>
    <t>Г-ввод ул.Отечественная,43, ст. Кагальницкая, Кагальницкий р стор.</t>
  </si>
  <si>
    <t>Г-ввод ул.Строителей,4,п.Веселый,Веселовский р-н,стор.</t>
  </si>
  <si>
    <t>Г-ввод ул.Фруктовая,5,г.Зерноград, стор.</t>
  </si>
  <si>
    <t>Г-ввод ул.Центральная,55,х.Красный Маныч,к ГНД х.Красный Маныч,Показ, Веселовский р-н,аренда</t>
  </si>
  <si>
    <t>ГНД пер.Пушкина, ст.Кагальницкая,Кагальницкий р-н, инв.000014087</t>
  </si>
  <si>
    <t>ГНД ул.Ленина,ст.Кировская,Кагальницкий р-н, инв.000014091</t>
  </si>
  <si>
    <t>ГНД ул.Мира,Новая,х.Северный, Целинский р-н ,инв.15-51907</t>
  </si>
  <si>
    <t>ГНД ул.Школьная, ст. Кировская, Кагальницкий район, инв.000014079</t>
  </si>
  <si>
    <t>ГПНД  от пер. Калинина,вдоль ул.Пушкина до пер Колхозный, ст Мечетинская, Зерноградский район, инв 15-45493</t>
  </si>
  <si>
    <t>ГПНД от № 1 до № 45 ул.Комсомольская, г. Зерноград, инв.15-45637</t>
  </si>
  <si>
    <t>ГПНД от № 53 до № 96 ул.Заречная, х.1 -й Россошинский, Зерноградский район,инв.15-48082</t>
  </si>
  <si>
    <t>ГПНД от №32 до № 106, ул.Майская,ст.Кагальницкая,Кагальницкий р-н, инв.15-45485</t>
  </si>
  <si>
    <t>ГПНД ул.Ватутина, г.Зерноград, инв.15-45586</t>
  </si>
  <si>
    <t>ГПНД ул.Хомутовская, от №1, ст.Кировская,Кагальницкий р-н, инв.15-51734</t>
  </si>
  <si>
    <t>ГПСД г.Зерноград ГРП Селекцентра, инв.15-47950</t>
  </si>
  <si>
    <t>ГПСНД ул.Береговая,Пензенская,п.Веселый, Веселовский р-н, инв.15-70246</t>
  </si>
  <si>
    <t>ПГНД ул.Воронежская,Краснодарская,Ворошилова,с.Васильево-Шамшево,Кагальницкий р,инв.000016246</t>
  </si>
  <si>
    <t>ПГНД ул.Кошевого, Подбельского, Новая, Зеленый, п.Кленовый,Зерноградский р, инв.000016243</t>
  </si>
  <si>
    <t>ПНГВНД х.Войнов,вд ул. Центральная, ул. Северная, у. Первая, Егорлыкского района. инв 000015583</t>
  </si>
  <si>
    <t>ПНГНД ул.Луговая, х. Николаевский, Кагальницкий район, инв.000016786</t>
  </si>
  <si>
    <t>ГВСНД с ГРПШ ул.Гагарина,Вокзальная,г.Миллерово,инв.000013501  (г.Миллерово, ул.Ленина, 12)</t>
  </si>
  <si>
    <t>Г-ввод ул. Гелетухина 12 г Морозовск</t>
  </si>
  <si>
    <t>Г-ввод ул. Главная 4 х. Козинка Морозовского р-на</t>
  </si>
  <si>
    <t>Г-ввод ул. Калинина 291 г Морозовск</t>
  </si>
  <si>
    <t>Г-ввод вдоль дороги Ростов-Новочерскассск КСП им. Ленина. Аксайский р</t>
  </si>
  <si>
    <t>Г-ввод пер.Кривой,24,лит Б, г.Новочеркасск, стор.</t>
  </si>
  <si>
    <t>Г-ввод пер.Студенческий,29,г.Новочеркасск, стор</t>
  </si>
  <si>
    <t>Г-ввод пл. Левски,12 А, г.Новочеркасск, аренда</t>
  </si>
  <si>
    <t>Г-ввод пл.Центральная,5, литер А,г.Новочеркасск,стор.</t>
  </si>
  <si>
    <t>Г-ввод пр.Баклановский,118а,г.Новочеркасск,стор</t>
  </si>
  <si>
    <t>Г-ввод С/Т № 2 (АО Магнит), 66 лит А,г. Новочеркасск стор</t>
  </si>
  <si>
    <t>Г-ввод ул.Желябова,136,пер.Западный,36,г.Новочеркасск,стор.</t>
  </si>
  <si>
    <t>Г-ввод ул.Интернационалистов,59,г.Новочеркасск,стор.</t>
  </si>
  <si>
    <t>Г-ввод ул.Первая,уч 25,с/т11 лит.Д,, г.Новочеркасск стор</t>
  </si>
  <si>
    <t>Г-ввод ул.Петрова,3а,лит.Х,лит.Ш, лит.Ч, г.Новочеркасск,стор.</t>
  </si>
  <si>
    <t>Г-ввод ул.Поворотная,7б,г.Новочеркасск,стор</t>
  </si>
  <si>
    <t>Г-ввод ул.Успенская,18, литер А,г.Новочеркасск,стор</t>
  </si>
  <si>
    <t>Г-ввод ул.Худякова,18а, литер А,г.Новочеркасск, стор.</t>
  </si>
  <si>
    <t>Не позднее срока окончания действия договора подключения</t>
  </si>
  <si>
    <t>РГНД ст.Заплавская, Октябрьский район (2 этап), инв.00-000510</t>
  </si>
  <si>
    <t>Г-ввод ул.Окольная,7,г.Сальск,к ГНД ул.Полевая,Васильковая,г.Сальск,аренда</t>
  </si>
  <si>
    <t>ГВНД с ГРПШ зап. р-не Молчанов, Семикаракорск инв.000013200</t>
  </si>
  <si>
    <t>НПГНВД ул.Степная, ул. Лазорева,1-й,2-й переулок, пер.Короткий,г.Семикаракорск, инв 32-30248</t>
  </si>
  <si>
    <t>РГ ул.Комарова,ул.Солнечная,ул.Заводская МКР Молчанов г. Семикаракорск, инв.000015995</t>
  </si>
  <si>
    <t>Г-ввод 10 Садовая площадка,3а,г.Таганрог,к ГНД зилн 7 навбакин,аренда</t>
  </si>
  <si>
    <t>Г-ввод 1300 км СКЖД СНТ Тюльпан,уч-к 31, к ВНГ СТ Голуб.Ели,Мор.Чулек,Неклиновский р-н,аренда</t>
  </si>
  <si>
    <t>Г-ввод 29 переулок, 2-а,г.Таганрог,к ГНД Красный,г.Таганрог,аренда</t>
  </si>
  <si>
    <t>Г-ввод ДНТ Парус,60, с.Николаевка,ВНГ АГРС Троиц1,Луг,Ленин,Фрунзе,с.Николаевка,Неклиновский р-н,аренда</t>
  </si>
  <si>
    <t>Г-ввод ДНТ Полет,447,с.Николаевка,Неклиновский р-н,стор.</t>
  </si>
  <si>
    <t>Г-ввод ДНТ Энтузиаст-2,6,с.Николаевка,Гаевка АГРС Троцкое,Неклиновский р-н,аренда</t>
  </si>
  <si>
    <t>Г-ввод Металлург-2,сад,6,с.Бессергеновка,ВНГ ул.Мирн1,от ШГРП-3 до Соц.Неклиновский р-н,аренда</t>
  </si>
  <si>
    <t>Г-ввод Неклиновский Энергетик,117,с.Николаевка,ВНГ АГРС Троиц1,Луг,Лен,Неклиновский р-н,аренда</t>
  </si>
  <si>
    <t>Г-ввод Николаевское шоссе,1-2, г.Таганрог,стор.</t>
  </si>
  <si>
    <t>Г-ввод Николаевское шоссе,19-1,СНТ Весна,уч-к 84,г.Таганрог,стор.</t>
  </si>
  <si>
    <t>Г-ввод пер.Комсомольский,19-1, г.Таганрог,ГНДА.Глушко,г.Таганрог,аренда</t>
  </si>
  <si>
    <t>Г-ввод пер.Медный,1,г.Таганрог,к ГНД медн,октябрь,г.Таганрог,аренда</t>
  </si>
  <si>
    <t>Г-ввод Северо-Западное шоссе,10, ДНТ Омега,232,г.Таганрог,стор.</t>
  </si>
  <si>
    <t>Г-ввод СНТ Дачное-1,аллея 4,уч-к 44,г.Таганрог,стор.</t>
  </si>
  <si>
    <t>Г-ввод СНТ Котлостроитель,133,г.Таганрог,стор.</t>
  </si>
  <si>
    <t>Г-ввод СНТ Миусские Зори,72, х.Боркин,Неклиновский р-н,стор.</t>
  </si>
  <si>
    <t>Г-ввод ст Педагог,352, г.Таганрог,стор.</t>
  </si>
  <si>
    <t>Г-ввод СТ Приморье,уч-к 59, Неклиновский р-н,стор.</t>
  </si>
  <si>
    <t>Г-ввод ул.Береговая,1-г,с.А-Мелентьево,к ВНГ ул.Октябрь,Первом,с.А-Мелентьево,Неклиновский р-н,аренда</t>
  </si>
  <si>
    <t>Г-ввод ул.Береговая,11а,с.Мержаново,к ВНГ СТ Голубые Ели,Морск,Чулек,Неклиновский р-н,аренда</t>
  </si>
  <si>
    <t>Г-ввод ул.Береговая,9-а,с.А-Мелентьево,к ВНГ ул.Октябрьск,Первом,с.А-Мелентьево,Неклиновский р-н,аренда</t>
  </si>
  <si>
    <t>Г-ввод ул.Восточная,40,с.Новобессергеновка,Неклиновский р-н, стор.</t>
  </si>
  <si>
    <t>Г-ввод ул.Восточная,42, с.Новобессергеновка,Неклиновский р-н.стор.</t>
  </si>
  <si>
    <t>Г-ввод ул.Гоголя,52-а,с.Николаевка,Неклиновский р-н, стор</t>
  </si>
  <si>
    <t>Г-ввод ул.Дзержинского,60/ул.Штыба,76,г.Таганрог,к ГНД Ткач, 2 ком,г.Таганрог,аренда</t>
  </si>
  <si>
    <t>Г-ввод ул.Евминенко,15/Б.Проспект,8, г.Таганрог, к ГНД Евминенко,г.Таганрог,аренда</t>
  </si>
  <si>
    <t>Г-ввод ул.Жасминная,1,х.Новолакедемоновка к ПГ х.Новолакедемоновка,Неклиновский р-н,аренда</t>
  </si>
  <si>
    <t>Г-ввод ул.Инициативная,60,г.Таганрог, к ГНД ул.Греческая,г.Таганрог,аренда</t>
  </si>
  <si>
    <t>Г-ввод ул.Межевая,5,с.Николаевка,Неклиновский р-н,стор.</t>
  </si>
  <si>
    <t>Г-ввод ул.Миусская,5, с.Беглица,к ПГ с.Беглица,Лакедемоновская,АГРС,Неклиновский р-н,аренда</t>
  </si>
  <si>
    <t>Г-ввод ул.Первомайская,56,с.Куйбышево, Неклиновский р-н,заяв.Шабельник Н.И.,стор.</t>
  </si>
  <si>
    <t>Г-ввод ул.Петлякова,50/24,г.Таганрог,стор.</t>
  </si>
  <si>
    <t>Г-ввод ул.Победы,1-р,с.Андреево-Мелентьево, к ВНГ ул.Октябрь,Первом,с.А-Мелентьево,Неклиновский р-н,аренда</t>
  </si>
  <si>
    <t>Г-ввод ул.Полевая,73, с.Покровское,Неклиновский р-н,стор.</t>
  </si>
  <si>
    <t>Г-ввод ул.Пушкина,36-д, с.Николаевка,ВНГ АГРС Троицк1,Лугова,Неклиновский р-н,аренда</t>
  </si>
  <si>
    <t>Г-ввод ул.Пушкина,88,с.Николаевка,к ВНГ АГРС Троицк1,Луг,Лен,Фрунзе,Неклиновский р-н,аренда</t>
  </si>
  <si>
    <t>Г-ввод ул.Пушкина,94,с.Николаевка,к ВНГ АГРС Троицк1,Луг,Лен,Фрунзе,Неклиновский р-н,аренда</t>
  </si>
  <si>
    <t>Г-ввод ул.Чехова,4-а,с.Николаевка,к ВНГ с.Никол,Гаевка,АГРС Троицкая,Неклиновский р-н,аренда</t>
  </si>
  <si>
    <t>Г-ввод ул.Шмидта,3,с.Боцманово, к ПГ от ГРП п.Комаровка,Неклиновский р-н,аренда</t>
  </si>
  <si>
    <t>ПГНД ул.Орджоникидзе,х.Ленинаван, Мясниковский р-н, инв.22-00944</t>
  </si>
  <si>
    <t>ГНД восточ.от зап.гр.зем.уч-ка ул.Изумрудная,х.Красный Крым,Мясниковский р-н,инв.000013942</t>
  </si>
  <si>
    <t>ГВНД ул.Орджоникидзе, х.Ленинаван,Мясниковский р-н, инв.00-06666</t>
  </si>
  <si>
    <t>Г-ввод ул.Шапкина,21/36, г.Ростов-на-Дону,стор.</t>
  </si>
  <si>
    <t>Г-ввод ул.Цветочная,1а, х. Хапры, Мясниковский р ,стор.</t>
  </si>
  <si>
    <t>Г-ввод ул.Удачная,12,х. Ленинаван, Мясниковский р-н ,стор.</t>
  </si>
  <si>
    <t>Г-ввод ул.Тенистая,4, ДНТ п. Озерный,  Мясниковский р-н ,стор.</t>
  </si>
  <si>
    <t>Г-ввод ул.Суворова,28а,с.Чалтырь,Мясниковский р-н,стор.</t>
  </si>
  <si>
    <t>Г-ввод ул.Степная,47,х.Калинин,Мясниковский р-н,стор.</t>
  </si>
  <si>
    <t>Г-ввод ул.Свободы,25,х.Красный Крым, Мясниковский р-н, стор.</t>
  </si>
  <si>
    <t>Г-ввод ул.Российская,16а, х. Кр. Крым,  Мясниковский р-н ,стор.</t>
  </si>
  <si>
    <t>Г-ввод ул.Пролетарская,32, с.Чалтырь, Мясниковский р-н,стор.</t>
  </si>
  <si>
    <t>Г-ввод ул.Оливковая,9,х.Красный Крым, Мясниковский р-н,стор.</t>
  </si>
  <si>
    <t>Г-ввод ул.Лукашина,25в, х.Ленинакан, Мясниковский р-н, стор.</t>
  </si>
  <si>
    <t>Г-ввод ул.Лукашина,18б,с.Чалтырь,Мясниковский р-н, стор.</t>
  </si>
  <si>
    <t>Г-ввод ул.Луговая,39, ДНП Поселок "Озерный", Мясниковский р-н ,стор.</t>
  </si>
  <si>
    <t>Г-ввод ул.Луговая,35,х.Красный Крым,Мясниковский р-н,стор.</t>
  </si>
  <si>
    <t>Г-ввод ул.Луговая,19,х.Красный Крым,Мясниковский р-н,стор.</t>
  </si>
  <si>
    <t>Г-ввод ул.Ландышевая,7а,х.Ленинаван, к ГНД ул.Ландышевая,х.Ленинаван,Мясниковский р-н,аренда</t>
  </si>
  <si>
    <t>Г-ввод ул.Красноармейская,102а, с.Чалтырь, к ГНД ул.Красноармейская, с.Чалтырь, Мясниковский р-н, аренда</t>
  </si>
  <si>
    <t>Г-ввод ул.Кирова,38, х.Красный Крым, Мясниковский р-н, стор.</t>
  </si>
  <si>
    <t>Г-ввод ул.Ереванская,11/1, х.Ленинаван, Мясниковский р-н, стор.</t>
  </si>
  <si>
    <t>Г-ввод ул.Ереванская,10/1, х.Ленинаван, Мясниковский р-н, стор.</t>
  </si>
  <si>
    <t>Г-ввод ул.Дружбы,76,х.Ленинаван, Мясниковский р-н,стор.</t>
  </si>
  <si>
    <t>Г-ввод ул.Весенняя,12, с.Чалтырь, Мясниковский р-н, стор.</t>
  </si>
  <si>
    <t>Г-ввод ул.Абрикосовая,48, ДНП п.Озерный,Мясниковский р-н,стор.</t>
  </si>
  <si>
    <t>Г-ввод ул.Абовяна,75, х.Ленинаван, Мясниковский р-н, стор.</t>
  </si>
  <si>
    <t>Г-ввод ул.16-я Линия,21,с.Чалтырь,Мясниковский р-н,стор.</t>
  </si>
  <si>
    <t>Г-ввод пер.Гороховый,17, г. Ростов-на-Дону ,стор.</t>
  </si>
  <si>
    <t>Г-ввод пер.5-й Путеводный,52,СНТ Сириус, Мясниковский р-н, стор.</t>
  </si>
  <si>
    <t>Г-ввод ул.Купеческая,47А,г.Батайск</t>
  </si>
  <si>
    <t>Г-ввод ул.Медовая,19,г.Батайск,стор.</t>
  </si>
  <si>
    <t>Г-ввод ул.Социалистическая,100А, г.Батайск</t>
  </si>
  <si>
    <t>Г-д ул.М.Горького, (чет.стор) от ул.Куйбышева до ул.Луначарского, г.Батайск, инв.3-030232</t>
  </si>
  <si>
    <t>Г-д ул.Пионерская,Талалихина, до ул.Суворова(чет.ст.142-220), г.Батайск, инв.3-030259</t>
  </si>
  <si>
    <t>ГСНД ул.Строителей,Светлая,п.Мокрый Батай,Кагальницкий р-н, инв.000013021</t>
  </si>
  <si>
    <t>Г-ввод ДНТ Победа, уч-к 226, г.Ростов-на-Дону,стор.</t>
  </si>
  <si>
    <t>Г-ввод пер.1-й Берестяной,44, уч.137, ДНТ Утро,г.Ростов-на-Дону,стор.</t>
  </si>
  <si>
    <t>Г-ввод пер.1-й Тверской,9, п. Темерницкий,Аксайский район,стор.</t>
  </si>
  <si>
    <t>Г-ввод пер.1-й Флаговый,9/169, СНТ Братство, уч-к 707, г.Ростов-на-Дону,стор.</t>
  </si>
  <si>
    <t>Г-ввод пер.1-й Черкасский,10, СНТ Алмаз, к.н. 61:44:0030609:39, г.Ростов-на-Дону,стор.</t>
  </si>
  <si>
    <t>Г-ввод пер.2-й Берестяной,уч.227, ДНТ Утро, г.Ростов-на-Дону,стор.</t>
  </si>
  <si>
    <t>Г-ввод пер.2-й Лазоревый,30, СНТ Урожай,г.Ростов-на-Дону,стор.</t>
  </si>
  <si>
    <t>Г-ввод пер.5-й Дружный,16, СНТ Братство, уч-к 1119, г.Ростов-на-Дону,стор.</t>
  </si>
  <si>
    <t>Г-ввод пер.5-й Кустарный,уч-к 183, ДНТ Утро, г.Ростов-на-Дону,стор.</t>
  </si>
  <si>
    <t>Г-ввод пер.5-й Кустарный,уч-к 49,ДНТ Утро, г.Ростов-на-Дону,стор.</t>
  </si>
  <si>
    <t>Г-ввод пер.5-й Кустарный,уч.64, ДНТ Утро, г.Ростов-на-Дону,стор.</t>
  </si>
  <si>
    <t>Г-ввод пер.6-й Лазоревый,15, г.Ростов-на-Дону,стор.</t>
  </si>
  <si>
    <t>Г-ввод пер.9-й Лазоревый,87/35, СНТ Урожай,г.Ростов-на-дону,стор.</t>
  </si>
  <si>
    <t>Г-ввод пер.Синявский,12,г.Ростов-на-Дону, стор.</t>
  </si>
  <si>
    <t>Г-ввод пр-зд 4-й Тверской,1, п.Темерницкий,Аксайский р-н,стор.</t>
  </si>
  <si>
    <t>Г-ввод пр-зд Видный,21/9, п.Темерницкий,Аксайский р-н.стор.</t>
  </si>
  <si>
    <t>Г-ввод пр-зд Видный,28/12, п.Темерницкий,Аксайский р-н.стор.</t>
  </si>
  <si>
    <t>Г-ввод пр-зд Екатерининский,7, п.Темерницкий,Аксайский р-н, стор.</t>
  </si>
  <si>
    <t>Г-ввод пр-зд Елизаветинский,15,п.Темерницкий,Аксайский р-, стор.</t>
  </si>
  <si>
    <t>Г-ввод пр-зд Елизаветинский,7,п.Темерницкий,Аксайский р-, стор.</t>
  </si>
  <si>
    <t>Г-ввод пр-зд Приятный,6,п.Темерницкий,Аксайский р-н.стор.</t>
  </si>
  <si>
    <t>Г-ввод пр-зд Прохладный,1,п.Темерницкий,Аксайский р-,стор.</t>
  </si>
  <si>
    <t>Г-ввод пр-зд Прохладный,23а,п.Темерницкий,Аксайский р-н, стор.</t>
  </si>
  <si>
    <t>Г-ввод пр-зд Тихий,5,п.Темерницкий,Аксайскийр-н, стор.</t>
  </si>
  <si>
    <t>Г-ввод пр.Удачный,4, п. Темерницкий,Аксайский р, стор.</t>
  </si>
  <si>
    <t>Г-ввод с/т Защитник,25/32, г.Ростов-на-Дону, стор.</t>
  </si>
  <si>
    <t>Г-ввод СНТ Алмаз,36,к.н.61:44:0030609:25,г.Ростов-на-Дону,стор.</t>
  </si>
  <si>
    <t>Г-ввод СНТ Алмаз,64,г.Ростов-на-Дону,стор.</t>
  </si>
  <si>
    <t>Г-ввод СНТ Братство,97, 102,г.Ростов-на-Дону,стор.</t>
  </si>
  <si>
    <t>Г-ввод СНТ Защитник,6/1,г.Ростов-на-Дону,стор.</t>
  </si>
  <si>
    <t>Г-ввод СНТ Урожай, к.н. 61:44:0082612:1724, г.Ростов-на-Дону,стор.</t>
  </si>
  <si>
    <t>Г-ввод СНТ Яблочко,уч.66, к ГНД на тер.СНТ Яблочко, Аксайский р-н, стор.</t>
  </si>
  <si>
    <t>Г-ввод ул.1-я Огуречная,27, г.Ростов-на-Дону,стор.</t>
  </si>
  <si>
    <t>Г-ввод ул.15-я Линия,8,г.Ростов-на-Дону,к ПГНД ул.15-я Линия,г.Ростов-на-Дону,аренда</t>
  </si>
  <si>
    <t>Г-ввод ул.2-я Луговая,27,г.Ростов-на-Дону,стор.</t>
  </si>
  <si>
    <t>Г-ввод ул.2-я Осевая,18, г.Ростов-на-Дону,стор.</t>
  </si>
  <si>
    <t>Г-ввод ул.2-я Процветания,14/8,г.Ростов-на-Дону,стор.</t>
  </si>
  <si>
    <t>Г-ввод ул.2-я Тернистая,62а,ДНТ Садовод-Любитель,г.Ростов-на-Дону,стор.</t>
  </si>
  <si>
    <t>Г-ввод ул.39-я Линия,77,г.Ростов-на-Дону,аренда</t>
  </si>
  <si>
    <t>Г-ввод ул.4-я Линия,21, СНТ Донподход, г.Ростов-на-Дону,стор.</t>
  </si>
  <si>
    <t>Г-ввод ул.4-я Линия,43, СНТ Донподход, г.Ростов-на-Дону,стор.</t>
  </si>
  <si>
    <t>Г-ввод ул.4-я Процветания,8а, СНТ Урожай,г.Ростов-на-Дону,стор.</t>
  </si>
  <si>
    <t>Г-ввод ул.4-я, к.н. 61:44:0070704:174, СНТ Донподход, г.Ростов-на-Дону,стор.</t>
  </si>
  <si>
    <t>Г-ввод ул.6-я Улица,27, СНТ Донподход, г.Ростов-на-Дону,стор.</t>
  </si>
  <si>
    <t>Г-ввод ул.7-я Улица,39, СНТ Донподход, г.Ростов-на-Дону,стор.</t>
  </si>
  <si>
    <t>Г-ввод ул.Вербная,6,г.Ростов-на-Дону,к ГНД ул.Вербная,г.Ростов-на-Дону,аренда</t>
  </si>
  <si>
    <t>Г-ввод ул.Версальская,10, х. Камышеваха, Аксайский район, стор</t>
  </si>
  <si>
    <t>Г-ввод ул.Гипсовая,24,г.Ростов-на-Дону, стор.</t>
  </si>
  <si>
    <t>Г-ввод ул.Горчакова,20,г.Аксай,стор.</t>
  </si>
  <si>
    <t>Г-ввод ул.Горчакова,22,г.Аксай,стор.</t>
  </si>
  <si>
    <t>Г-ввод ул.Гусарская,15,г.Ростов-на-Дону,стор.</t>
  </si>
  <si>
    <t>Г-ввод ул.Добрососедская,35, ДНТ Исток, уч 185, г.Ростов-на-Дону,стор.</t>
  </si>
  <si>
    <t>Г-ввод ул.Дымчатая,17А,г.Ростов-на-Дону,стор.</t>
  </si>
  <si>
    <t>Г-ввод ул.Жавель,25, х.Камышеваха,Аксайский р-н, стор.</t>
  </si>
  <si>
    <t>Г-ввод ул.Жданова,14, г. Ростов-на-Дону, стор.</t>
  </si>
  <si>
    <t>Г-ввод ул.Золотистая,128/1, СНТ Виноградарь,г.Ростов-на-Дону,стор.</t>
  </si>
  <si>
    <t>Г-ввод ул.Кеплера,7А.п.Верхнетемерницкий,Аксайский р-н,стор.</t>
  </si>
  <si>
    <t>Г-ввод ул.Красноармейская,157/124, ,г.Ростов-на-Дону,стор.</t>
  </si>
  <si>
    <t>Г-ввод ул.Латуневая,12/22, х.Камышеваха,Аксайский р-н, стор.</t>
  </si>
  <si>
    <t>Г-ввод ул.Латуневая,7, х.Камышеваха,Аксайский р-н, стор.</t>
  </si>
  <si>
    <t>Г-ввод ул.Левобережная,137,г.Ростов-на-Дону,стор.</t>
  </si>
  <si>
    <t>Г-ввод ул.Левобережная,2, СНТ Задонье, уч-к86/3, ст.Ольгинская,Аксайский р-н,стор.</t>
  </si>
  <si>
    <t>Г-ввод ул.Левобережная,4 СНТ Донское,уч-к 1153, ст.Ольгинская,Аксайский р-н,стор.</t>
  </si>
  <si>
    <t>Г-ввод ул.Левобережная,с/т Задонье, уч-к 363/3,ст.Ольгинская,Аксайский р-н, стор.</t>
  </si>
  <si>
    <t>Г-ввод ул.Лелюшенко,16, г.Ростов-на-Дону,стор.</t>
  </si>
  <si>
    <t>Г-ввод ул.Литвинова,30, г.Ростов-на-Дону,к ПГСД ул.Литвинова,г.Ростов-на-Дону,аренда</t>
  </si>
  <si>
    <t>Г-ввод ул.Млечного пути,33, п.Верхнетемерницкй,Аксайский р-н, стор.</t>
  </si>
  <si>
    <t>Г-ввод ул.Мопра,42,г.Ростов-на-Дону, ПГСД пр.Стачки,114,г.Ростов-на-Дону,аренда</t>
  </si>
  <si>
    <t>Г-ввод ул.Орбитальная,3д,г.Ростов-на-Дону, стор.</t>
  </si>
  <si>
    <t>Г-ввод ул.Петровская,3,г.Ростов-на-Дону,к РГСД ул.Чехова,г.Ростов-на-Дону,аренда</t>
  </si>
  <si>
    <t>Г-ввод ул.Пешкова,48А,г.Ростов-на-Дону,к РГНД ул.Пешкова,г.Ростов-на-Дону,аренда</t>
  </si>
  <si>
    <t>Г-ввод ул.Половецкая,4В,г.Ростов-на-Дону,стор.</t>
  </si>
  <si>
    <t>Г-ввод ул.Попутная,33а,г.Ростов-на-Дону,стор.</t>
  </si>
  <si>
    <t>Г-ввод ул.Родниковая,4д,г.Ростов-на-Дону,стор.</t>
  </si>
  <si>
    <t>Г-ввод ул.Рябышева,119,г.Ростов-на-Дону,стор.</t>
  </si>
  <si>
    <t>Г-ввод ул.Суворова,13, г.Ростов-на-Дону стор</t>
  </si>
  <si>
    <t>Г-ввод ул.Татарская,89,г.Ростов-на-Дону, к ПГНД ул.Татарская,г.Ростов-на-Дону,аренда</t>
  </si>
  <si>
    <t>Г-ввод ул.Тельмана,145,кв 2,г.Ростов-на-Дону, стор.</t>
  </si>
  <si>
    <t>Г-ввод ул.Тибетская,142/1,г.Ростов-на-Дону,стор.</t>
  </si>
  <si>
    <t>Г-ввод ул.Товарищеская,4,г.Ростов-на-Дону,к ПГНД ул.Товарищеская,г.Ростов-на-Дону,аренда</t>
  </si>
  <si>
    <t>Г-ввод ул.Череповецкая,42,г.Ростов-на-Дону,стор.</t>
  </si>
  <si>
    <t>Г-ввод ул.Шарон,11,х.Камышеваха,Аксайский р-н,стор.</t>
  </si>
  <si>
    <t>Г-ввод ул.Шарон,7,х.Камышеваха,Аксайский р-н,стор.</t>
  </si>
  <si>
    <t>Г-ввод ул.Шарон,9,х.Камышеваха,Аксайский р-н,стор.</t>
  </si>
  <si>
    <t>Г-ввод ул.Шелковая,15,г.Ростов-на-Дону,стор.</t>
  </si>
  <si>
    <t>Г-ввод ул.Шоссейная,2а,г.Ростов-на-Дону,стор.</t>
  </si>
  <si>
    <t>Г-ввод х.Камышеваха,к.н. 61:02:0010401:716, Аксайский р-н, к ПГСД пр.Изумрудный,х.Камышеваха,Аксайский р-н,аренда</t>
  </si>
  <si>
    <t>Г-ввод ул.Прокофьева,8,г.Ростов-на-Дону,стор.</t>
  </si>
  <si>
    <t>Г-ввод пр-зд Тихий,3, п.Темерницкий,Аксайский р-н, стор.</t>
  </si>
  <si>
    <t>ПАО "Газпром газораспределение Ростов-на-Дону" в ст. Вешенской</t>
  </si>
  <si>
    <t>Г-ввод ул.Сосновый Бор,13 с.Вешенская, РПЭГСД ул.Сосновый,Бор,с.Вешенская,Шолоховский р-н,аренда</t>
  </si>
  <si>
    <t xml:space="preserve">Сч.08.4 </t>
  </si>
  <si>
    <t>Пост пров-ки газоб.оборуд.ул.Иловайская,3,г.Ростов-на-Дону</t>
  </si>
  <si>
    <t>Выключатель автоматический 10А</t>
  </si>
  <si>
    <t>Газоанализатор ФП-33</t>
  </si>
  <si>
    <t>Заклепочник</t>
  </si>
  <si>
    <t>Кабель МКЭШ 3*0,5</t>
  </si>
  <si>
    <t>Крышка на лоток 100*3000</t>
  </si>
  <si>
    <t>Крышка на лоток 50*3000</t>
  </si>
  <si>
    <t>Лоток перфорированный 100*50*3000</t>
  </si>
  <si>
    <t>Лоток перфорированный 50*50*3000</t>
  </si>
  <si>
    <t>Оборудование газобаллонное на КПГ LOVATO (1 шт)</t>
  </si>
  <si>
    <t>Оборудование газобаллонное на КПГ LOVATO (2 шт)</t>
  </si>
  <si>
    <t>Оборудование газобаллонное на КПГ LOVATO (4 шт)</t>
  </si>
  <si>
    <t>Оргстекло 2,05*3,05</t>
  </si>
  <si>
    <t>Пластик ПЭТ листовой 1,25*2,05</t>
  </si>
  <si>
    <t>Провод ПВС- 3*1,5</t>
  </si>
  <si>
    <t>Рейка DIN перфорированная 1000 мм</t>
  </si>
  <si>
    <t>Труба прямоугольная 40*40</t>
  </si>
  <si>
    <t>Хомут для кабеля 300*4,8</t>
  </si>
  <si>
    <t>Щуп для газоанализатора</t>
  </si>
  <si>
    <t xml:space="preserve">Инвентаризационная опись на объекты незавершенного строительства 
ПАО "Газпром газораспределение Ростов-на-Дону"
по состоянию на 30.09.2018
</t>
  </si>
  <si>
    <t>ГНД ул.Б.Куликова, 38/40,44, г.Семикаракорск, инв.000013218</t>
  </si>
  <si>
    <t>Конструкция крыши здания (Литер Б) ул.5-я Линия,14,с.Чалтырь,Мясниковский р-н, инв.22-00144</t>
  </si>
  <si>
    <t>Система автом.пожарной сигнал,оповещ при пожаре, серверная,пр.Шолохова,14,г.Ростов-на-Дону</t>
  </si>
  <si>
    <t>Система контроля управления доступа здания ул. Шолохова, 14, г.Ростов-на-Дону</t>
  </si>
  <si>
    <t>Система охраны телевидения здания ул. Шолохова, 14, г.Ростов-на-Дону</t>
  </si>
  <si>
    <t>МГ х.Новомоисеевский,Пролетарский р-н</t>
  </si>
  <si>
    <t>Г-ввод АО Аксайское,поле,57,к.н. 61:02:0600010:3755,Аксайский р-н</t>
  </si>
  <si>
    <t>Г-ввод ВД Сад.потреб.кооператив Политехник, г.Новочеркасск, кад.номер  61:55:0011233:105</t>
  </si>
  <si>
    <t>Г-ввод поле №8,9 СХА им.ХХ партсъезда,подключение 400 уч-ков,Азовский р-н</t>
  </si>
  <si>
    <t>Г-ввод ул.Промышленная,22, завод по произ-ву крахмалопродуктов, г. Миллерово</t>
  </si>
  <si>
    <t>Г-ввод ул.Смирнова,51,г.Сальск,комплекс склад-цех сельхоз.назначения</t>
  </si>
  <si>
    <t>Г-ввод ул.Солнечная,1, АГНКС,г.Белая Калитва</t>
  </si>
  <si>
    <t>Г-ввод ул.Спортивная,64,производственная база,Северный,п.Сеятель,Сальский р-н</t>
  </si>
  <si>
    <t>Г-ввод уч-ки №127,129,131, Комсомольская, жилой комплекс г.Батайск</t>
  </si>
  <si>
    <t>Г-ввод б-р Белой Акации,36, х. Обуховка, Азовский р-н,аренда</t>
  </si>
  <si>
    <t>31.11.2018</t>
  </si>
  <si>
    <t>Г-ввод пер.Газетный,44, с. Новобатайск, Азовский р-н,аренда</t>
  </si>
  <si>
    <t>Г-ввод пер.З.Космодемьянской,1А,с.Кулешовка, ГНД ул.Красноарм,жд 170 ,340, Азовский р-н,аренда</t>
  </si>
  <si>
    <t>Г-ввод пер.Маяковского,20а, с. Кулешовка, Азовский р-н,аренда</t>
  </si>
  <si>
    <t>Г-ввод пер.Партизанский,1, с. Круглое, Азовский р-н,стор</t>
  </si>
  <si>
    <t>Г-ввод пер.Урицкого,20 А,г.Азов, стор.</t>
  </si>
  <si>
    <t>Г-ввод пер.Широкий,16,с.Новобатайск,Азовский р-н,стор.</t>
  </si>
  <si>
    <t>Г-ввод пер.Широкий,18,с.Новобатайск,к ГНД с.Новобатайск,ул.Октябрьская,пер.Братский,Азовский р-н,аренда</t>
  </si>
  <si>
    <t>Г-ввод СТ Мичуринец-2,618,г.Азов,стор.</t>
  </si>
  <si>
    <t>Г-ввод ул.В.Истомина,19Б,г.Азов, стор.</t>
  </si>
  <si>
    <t>Г-ввод ул.Вишневая,52Г, с. Пешково,Азовский р-н,стор</t>
  </si>
  <si>
    <t>Г-ввод ул.Дачная,2, ДНТ Луч п. Койсуг, Азовский р-н,стор</t>
  </si>
  <si>
    <t>Г-ввод ул.Заводская,22А, х. Обуховка,Азовский р-н,стор</t>
  </si>
  <si>
    <t>Г-ввод ул.Кирова,9, с. Новотроицкое, Азовский р-н,аренда</t>
  </si>
  <si>
    <t>Г-ввод ул.Ленина,283, с. Кулешовка,Азовский р-н,аренда</t>
  </si>
  <si>
    <t>Г-ввод ул.Ленина,293М, с. Кулешовка,Азовский р-н,стор.</t>
  </si>
  <si>
    <t>Г-ввод ул.Луговая,5,х.Береговой,Азовский р-н,стор.</t>
  </si>
  <si>
    <t>Г-ввод ул.Мира, 89, г. Азов, Азовский р-н,аренда</t>
  </si>
  <si>
    <t>Г-ввод ул.Мичуринская,46А с. Новобатайск, Азовский р-н,аренда</t>
  </si>
  <si>
    <t>Г-ввод ул.Морская,22А,с.Займо-Обрыв,Азовский р-н,стор.</t>
  </si>
  <si>
    <t>Г-ввод ул.Морская,4, с. Займо-Обрыв, Азовский р-н,стор</t>
  </si>
  <si>
    <t>Г-ввод ул.Набережная,55,х.Рогожкино,Азовский р-н,стор.</t>
  </si>
  <si>
    <t>Г-ввод ул.Нежная,11,п.Овощной,Азовский р-н,стор.</t>
  </si>
  <si>
    <t>Г-ввод ул.Некрасова,47, г. Азов,Азовский р-н,аренда</t>
  </si>
  <si>
    <t>Г-ввод ул.Свободы,19,с.Кагальник,Азовский р-н,ГНД ул.Свободы,Советск, с.Кагальник,Азовский р-н,аренда</t>
  </si>
  <si>
    <t>Г-ввод ул.Советская,34/48,с.Кагальник, к ГНД ул.Свободы,Советск,с.Кагальник,Азовский р-н,аренда</t>
  </si>
  <si>
    <t>Г-ввод ул.Советская,9, г.Азов,к ГНД ул.Лермонтова,Совет,Генуэз,г.Азов,аренда</t>
  </si>
  <si>
    <t>Г-ввод ул.Солнечная,19А,х.Новоалександровка,ГНД ул.Гагарина,Солнечная,х.Новоалександровка,Азовский р-н,аренда</t>
  </si>
  <si>
    <t>Г-ввод ул.Степная,17, х. Колузаево,Азовский р-н,аренда</t>
  </si>
  <si>
    <t>Г-ввод ул.Степная,192А,х.Дугино,Азовский р-н,стор.</t>
  </si>
  <si>
    <t>г-ввод ул.Шевченко,39,с.Кугей,Азовский р-н,стор.</t>
  </si>
  <si>
    <t>Г-ввод ул.Широкая,2, х. Павло-Очакова,Азовский р-н,стор</t>
  </si>
  <si>
    <t>ГНД пер.Уральский,пер.Полтавский,г.Азов, инв.000013233</t>
  </si>
  <si>
    <t>Г-ввод ул.Ленина,98А,с.Кагальник, к РГНД ул.Крупской от ул.Свободы до ул.Ленина,Азовский р,аренда</t>
  </si>
  <si>
    <t>Г-ввод ул.Садовая,3,х.Черюмкин,Аксайский р-н,стор.</t>
  </si>
  <si>
    <t>Г-ввод ул.Ленина,1-В, ст. Ольгинская,Аксайский р-н,стор.</t>
  </si>
  <si>
    <t>Г-ввд ул.Октябрьская,19-а,п.Красный,Аксайский р-н,стор.</t>
  </si>
  <si>
    <t>01.12.218</t>
  </si>
  <si>
    <t>ПНГНД ул.Шолохова Аксай</t>
  </si>
  <si>
    <t>Г-ввод ул.Советская,324,ст. Грушевская,Аксайский р-н,стор.</t>
  </si>
  <si>
    <t>Г-ввод ул.Гагарина,14,п.Октябрьский,Аксайский р-н,стор.</t>
  </si>
  <si>
    <t>Г-ввод с/т Алмаз,398,Аксайский р-н,стор.</t>
  </si>
  <si>
    <t>Г-д ул.Ермака,Закурганая,1,10 мкр,г.Аксай, инв.000013774</t>
  </si>
  <si>
    <t>РГНСД для газ-и ж.д. п.Элитный, Аксайский район, ин.в000015615</t>
  </si>
  <si>
    <t>Г-ввод ул.Михайловская,15,г.Аксай,стор.</t>
  </si>
  <si>
    <t>Г-ввод ул.Красочная,18,СНТ Ника-4,Аксайский р-н,стор.</t>
  </si>
  <si>
    <t>Г-ввод ул.5-я Линия,846,ДНТ Алмаз,Аксайский р-н,стор.</t>
  </si>
  <si>
    <t>Г-ввод ул.Березовая,1901, СНТ Содружество,Аксайский р-н,стор.</t>
  </si>
  <si>
    <t>Г-ввод с/т Алмаз,520,Аксайский р-н,стор.</t>
  </si>
  <si>
    <t>Г-ввод ул.Абрикосовая,848,СНТ Содружество,Аксайский р-н,стор.</t>
  </si>
  <si>
    <t>Г-ввод ул.Персиковая,2295, СНТ Содружество,Аксайский р-н,стор.</t>
  </si>
  <si>
    <t>Г-ввод ул.Ореховая,1111, СНТ Содружество,Аксайский р-н.стор.</t>
  </si>
  <si>
    <t>Г-ввод ул.Сливовая,1503,СНТ Содружество,Аксайский р-н,стор.</t>
  </si>
  <si>
    <t>Г-ввод 4-й переулок,2,ст.Ольгинская,Аксайский р-н, стор.</t>
  </si>
  <si>
    <t xml:space="preserve"> ГНД от № 71 до № 100/140 по ул.Подтелкова,  г.Аксай,инв.01-00248</t>
  </si>
  <si>
    <t>Г-ввод ул.2-я Линия,497, ДНТ Алмаз,Аксайский р-н.стор.</t>
  </si>
  <si>
    <t>Г-ввод ул.Первомайская,22а, п. Щепкин,Аксайский р-н,стор.</t>
  </si>
  <si>
    <t>Г-ввод ул.Промышленная,3, г. Аксай,Аксайский р-н,стор.</t>
  </si>
  <si>
    <t>Г-ввод ул.Прудная,1-А,п.Октябрьский,Аксайский р-н,стор.</t>
  </si>
  <si>
    <t>Г-ввод пер.Речной,3,х.Махин,Аксайский р-н,стор.</t>
  </si>
  <si>
    <t>Г-ввод пер.Крупской,8, ст. Багаевская,Багаевский р-н,стор.</t>
  </si>
  <si>
    <t>Г-ввод ул.Светлой,367, СТ Заря, Аксайский  р-н,стор.</t>
  </si>
  <si>
    <t xml:space="preserve"> ГНД ул.Луначарского,Шевченко,Революции, г.Аксай, инв.01-00234</t>
  </si>
  <si>
    <t>Г-ввод ул.Красноармейская,154Г, ст. Ольгинская,Аксайский р-н,стор.</t>
  </si>
  <si>
    <t>Г-ввод ул.Подгорная,2,ст.Грушевская,Аксайский р-н,стор.</t>
  </si>
  <si>
    <t>Г-ввод ул.Ромашковая,114,СНТ Содружество,Аксайский р-н,стор.</t>
  </si>
  <si>
    <t>Г-ввод ул.Центральная,2К, х. Карповка, Багаевский р-н,стор.</t>
  </si>
  <si>
    <t>Г-ввод ДНП Агро-клуб Усадьба,54-160,х.Махин, ,Аксайский р-н,стор.</t>
  </si>
  <si>
    <t>Г-ввод ул.Южная,12-а,п.Рассвет,Аксайский р-н,стор.</t>
  </si>
  <si>
    <t>Г-ввод ул.Тополей,763, СНТ Содружество,Аксайский р-н,стор.</t>
  </si>
  <si>
    <t>ГНД ул.Жуковского,1-48, г.Аксай, инв.01-00208</t>
  </si>
  <si>
    <t xml:space="preserve"> ГНД ул.К.либкнехта,51, до строения №51 по ул.Революции, г.Аксай, инв. 01-00247</t>
  </si>
  <si>
    <t>Г-ввод ул.Анютинская,4, г. Аксай,Аксайский р-н,стор.</t>
  </si>
  <si>
    <t>ГНД (зак) ул.Пролетарская,Широкая,ч/з 10-й Переулок ст.Ольгинская, Аксайского района</t>
  </si>
  <si>
    <t>Г-ввод пер.Ипподромный,10, ст. Багаевская,Багаевский р-н,стор.</t>
  </si>
  <si>
    <t>Г-ввод ул.Широкая,48А, ст. Ольгинская,Аксайский р-н,стор.</t>
  </si>
  <si>
    <t>Г-ввод ул.2-я Линия,458, ДНТ Алмаз,Аксайский р-н,стор.</t>
  </si>
  <si>
    <t>Г-ввод ул.Головина,42, ст. Багаевская,Багаевский р-н,стор.</t>
  </si>
  <si>
    <t>Г-ввод ул.В.Луговая,102-А,ст.Ольгинская,Аксайский р-н,стор.</t>
  </si>
  <si>
    <t>Г-ввод ул.Фадеева,177-Б, х.Большой Лог,Аксайский р-н,аренда</t>
  </si>
  <si>
    <t>Г-ввод ул.Планетная,6, СНТ Солнечная Поляна,Аксайский р-н,стор.</t>
  </si>
  <si>
    <t>Г-ввод ул.3-я Линия,547, ДНТ Алмаз, Аксайский р стор.</t>
  </si>
  <si>
    <t>Г-ввод ул.Оливковая,11/8, п. Российский,Аксайский р-н,стор.</t>
  </si>
  <si>
    <t>Г-ввод ул.Яблоневая,995, СНТ Содружество,Аксайский р-н,стор.</t>
  </si>
  <si>
    <t>Г-ввод ул.Советская,5/1,п.Октябрьский,Аксайский р-н,стор.</t>
  </si>
  <si>
    <t>Г-ввод ул.Ленина,1/1-А,п.Октябрьский,Аксайский р-н,стор.</t>
  </si>
  <si>
    <t>Г-ввод ул.Ландышевая,180,СНТ Содружество,Аксайский р-н,стор.</t>
  </si>
  <si>
    <t>Г-ввод ул.Котовского,3-а,п.Октябрьский,Аксайский р-н,стор.</t>
  </si>
  <si>
    <t>Г-ввод ул.Ермака,39,п.Реконструктор,Аксайский р-н,стор.</t>
  </si>
  <si>
    <t>Г-ввод ул.Пионерская,79, ст. Багаевская,Багаевский р-н,стор.</t>
  </si>
  <si>
    <t>Г-ввод ул.Платова,10, ст. Багаевская,Багаевский р-н,стор.</t>
  </si>
  <si>
    <t>Г-ввод пер.Речной,18,х.Махин,Аксайский р-н,стор.</t>
  </si>
  <si>
    <t>Г-ввод ул.Лазурная,24,п.Октябрьский,Аксайский р-н,стор.</t>
  </si>
  <si>
    <t>Г-ввод ул.Виноградная,1760, СНТ Содружество,Аксайский р-н,стор.</t>
  </si>
  <si>
    <t>Г-ввод ул.Школьная,26,п.Российский,Аксайский р-н, аренда</t>
  </si>
  <si>
    <t>Г-ввод ул.Осенняя,13,СНТ Ника-4,Аксайский р-н,стор.</t>
  </si>
  <si>
    <t>Г-ввод ул.Пугачева,28, ст. Багаевская,Багаевский р-н,стор.</t>
  </si>
  <si>
    <t>Г-ввод ДНП Агро-клуб Усадьба,37-471, х.Махин,Аксайский р-н, стор.</t>
  </si>
  <si>
    <t xml:space="preserve"> ГНД ул.Демьяна Бедного до ул.Подтелкова, г.Аксай, инв.01-00201</t>
  </si>
  <si>
    <t>Г-ввод ул.Лучезарная,2,п.Октябрьский,Аксайский р-н,стор.</t>
  </si>
  <si>
    <t>Г-ввод ул.Вишневая,54А,ст. Старочеркасская,Аксайский р-н,стор.</t>
  </si>
  <si>
    <t>Г-ввод ул.Московская,7, ст. Багаевская,Багаевский р-н,стор.</t>
  </si>
  <si>
    <t>Г-ввод ДНТ Алмаз,1539, Аксайский р-н,стор.</t>
  </si>
  <si>
    <t>Г-ввод ул.Малиноваяя,17, п. Российский,Аксайский р-н,стор.</t>
  </si>
  <si>
    <t>Г-ввод ул.Ясеневая,5, п. Российский,Аксайский р-н,стор.</t>
  </si>
  <si>
    <t>Г-вод пер.Путевой 7, г.Белая Калитва .стор</t>
  </si>
  <si>
    <t>Г-ввод ул.Набережная 174 г.Белая Калитва г-д ул.Щад.Набережная.Степная г.Белая Калитва аренда</t>
  </si>
  <si>
    <t>Г-ввод ул.Садовая 2 п.Жирнов Тацинский р-н стор.</t>
  </si>
  <si>
    <t>Г-д п.Сосны, Белокалитвинский р-н инв,4-030197</t>
  </si>
  <si>
    <t>Г-вво ул.Садовая,3а,п.Саркел,Цимлянский р-н,стор.</t>
  </si>
  <si>
    <t>Г-ввод ул.Окольная,69,п.Солнечный,Волгодонской р-н,стор.</t>
  </si>
  <si>
    <t>Г-ввод ул.Спортивная,7а,х.Паршиков,Цимлянский р-н,стор.</t>
  </si>
  <si>
    <t>Г-ввод ул.Степная,100В,г.Волгодонск,стор.</t>
  </si>
  <si>
    <t>Г-ввод ул.Центральная,21,ст.Лозновская,Цимлянский р-н,стор.</t>
  </si>
  <si>
    <t>Г-ввод,ул.Виноградная 34х.Михайловка,Красносулинский район,стор.</t>
  </si>
  <si>
    <t>Г-ввод,ул.Доброхотских 52 кв.1х.Михайловка,Красносулинский район,стор.</t>
  </si>
  <si>
    <t>Г-ввод,ул.Ленина 14 кв.1х.Михайловка,Красносулинский район,стор.</t>
  </si>
  <si>
    <t>Г-ввод,ул.Ленина 20 А х.Михайловка,Красносулинский район,стор.</t>
  </si>
  <si>
    <t>Г-ввод,ул.Ленина 26 х.Михайловка,Красносулинский район,стор.</t>
  </si>
  <si>
    <t>Г-ввод,ул.Садовая 11 х.Михайловка,Красносулинский район,стор.</t>
  </si>
  <si>
    <t>Г-ввод,ул.Юбилейная 22 х.Михайловка,Красносулинский район,стор.</t>
  </si>
  <si>
    <t>Г-ввод,ул.Юбилейная 22 А  х.Михайловка,Красносулинский район,стор.</t>
  </si>
  <si>
    <t>Г-ввод,ул.Юбилейная 2 А  х.Михайловка,Красносулинский район,стор.</t>
  </si>
  <si>
    <t>Г-ввод,ул.Юбилейная 3  х.Михайловка,Красносулинский район,стор.</t>
  </si>
  <si>
    <t>Г-ввод,ул.Юбилейная 40  х.Михайловка,Красносулинский район,стор.</t>
  </si>
  <si>
    <t>ПГНД 2-3 мкрн, инв.№000016433</t>
  </si>
  <si>
    <t>Г-ввод ул.Думенко,16,п.Целина,Целинский р-н,стор.</t>
  </si>
  <si>
    <t>Г-ввод ул.Заречная,15,ст.Егорлыкская,Егорлыкский р-н,стор.</t>
  </si>
  <si>
    <t>Г-ввод ул.Заречная,17,ст.Егорлыкская,Егорлыкский р-н, стор.</t>
  </si>
  <si>
    <t>Г-ввод ул.Заречная,74,с.Лопанка,к ГНД ул.Заречная,Гражданская,с.Лопанка,Целинский р-н,аренда</t>
  </si>
  <si>
    <t>Г-ввод ул.Садовая,2б, п.Веселый,Веселовский р-н, стор.</t>
  </si>
  <si>
    <t>Г-ввод ул.Свободы,67,с.Новокузнецовка,Зерноградский р-н,стор.</t>
  </si>
  <si>
    <t>Г-ввод ул.Центральная,194,с.Журавлевка,Целинский р-н,стор.</t>
  </si>
  <si>
    <t>30,01.19</t>
  </si>
  <si>
    <t>Г-ввод ул.Южная,10,ст.Егорлыкская,Егорлыкский р-н,стор.</t>
  </si>
  <si>
    <t>Г-ввод ул.Южная,11,кв.2, Егорлыкская, Егорлыкский р-н, стор.</t>
  </si>
  <si>
    <t>ГНД ОПХ Экспериментальное ул.Садовая,п.Заречный,Зерноградский р-н,инв.000014390</t>
  </si>
  <si>
    <t>ГНД ул.Вольная,Комарова,Казачья,Школьная,ст.Хомутовская,Кагальницкий р-н, инв.000015412</t>
  </si>
  <si>
    <t>ГПНД  ЗЕРНОГРАД УЛ.КОСТЫЧЕВА, инв 15-50779</t>
  </si>
  <si>
    <t>ГПНД Зерноградский район  П.ПЕРВОМАЙСКИЙ УЛ.СОВХОЗНАЯ, инв 15-50189</t>
  </si>
  <si>
    <t>ГПНД от № 37 до № 23 ул.Ввозного,п.Дубки,Зерноградский р-н, инв.15-50137</t>
  </si>
  <si>
    <t>ГПНД от ГРП по ул.Садовой, до угла стр.№ 17 по ул.Садовая, г.Зерноград,инв.15-47958</t>
  </si>
  <si>
    <t>ГПНД ул.Октябрьская,пер.Селекционный,ул.Первомайская,Свердлова,г.Зерноград,инв.15-45616</t>
  </si>
  <si>
    <t>ГПНД ул.Шоссейная,6,х.Чернышевка,Зерноградский р-н,инв.15-50748</t>
  </si>
  <si>
    <t>ГПНСД с.Гуляй-Борисовка, Зерноградский р ,инв №15-70172</t>
  </si>
  <si>
    <t>ГПСД ул.Машиностроителей,1/1,г.Зерноград,инв.15-45658</t>
  </si>
  <si>
    <t>ГПСД ул.Садовая от ГРС до ул.Чехова, ул.Чехова от ул.Садовой до Социалистической,г.Зерноград, инв.15-45597</t>
  </si>
  <si>
    <t>ПГВНД ул.Дачной,ул. Гайдара,г. Зерноград,инв.00-000504</t>
  </si>
  <si>
    <t>ПГНД ул.Береговой,Коммунистической,Пионерской,Красн.с.Ивано-Шамшево, Кагальницкий р-н, инв.000015633</t>
  </si>
  <si>
    <t>ПГНД ул.Луговая, Новая, зеленая, х. Каменный, Зерноградский  р, инв 000016241</t>
  </si>
  <si>
    <t>Г-ввод ул.К.Цеткин,143А,г.Батайск,стор.</t>
  </si>
  <si>
    <t>Г-ввод ул.Коваливского,74,г.Батайск,стор.</t>
  </si>
  <si>
    <t>Г-ввод ул.Лермонтова,88,г.Батайск,стор.</t>
  </si>
  <si>
    <t>Г-ввод ул.Морской,16А,г.Батайск,стор.</t>
  </si>
  <si>
    <t>Г-ввод ул.Огородная,56А, г.Батайск,стор.</t>
  </si>
  <si>
    <t xml:space="preserve">Г-ввод ул.Рыбная,2Н,г.Батайск,стор. </t>
  </si>
  <si>
    <t>Г-ввод ул.Светлая,1,п.М.Батай,Кагальницкий р-н,стор.</t>
  </si>
  <si>
    <t>Г-ввод ул.Энгельса,347Н,г.Батайск,стор.</t>
  </si>
  <si>
    <t>Г-ввод ул.Юбилейная,25, п.Мокрый Батай,Кагальницкий р-н,стор.</t>
  </si>
  <si>
    <t>Г-д кооп."Русь", Эстонская,Минская,г.Батайск, инв.3-030277</t>
  </si>
  <si>
    <t>ПГНД ул.Пролетарская-Серова-Чапаева г.Батайск,инв.3-030194</t>
  </si>
  <si>
    <t>ПНГВД и НГНД от № 154а ул.Эстонская,до № 63 по ул.Севастопольская,г.Батайск, инв.3-030405</t>
  </si>
  <si>
    <t>ПНГНД ул.Киевская,7, от Ленинградской,   г.Батайск, инв.3-030242</t>
  </si>
  <si>
    <t>ПНГСНД ул.Рыбная от от  ул.Московской, до ул. Калинина,г.Батайск,инв.3-030105</t>
  </si>
  <si>
    <t>Г-ввод пер. Гоького 17 г Морозовск</t>
  </si>
  <si>
    <t xml:space="preserve">Г-ввод ул. Интернациональная 36 х К-Быстрянский Морозовского р-на </t>
  </si>
  <si>
    <t>Г-ввод ул. Жукова 225 г Морозовск</t>
  </si>
  <si>
    <t>Г-ввод  ул. Заречная 51 х Морозов к ГВСНД х Морозов  Морозовского р-на аренда</t>
  </si>
  <si>
    <t>Г-ввод ул. Заречная 2 х Рязанкин Морозовского р-на</t>
  </si>
  <si>
    <t>Г-ввод ул. Молодежная 5 х К-Быстрянский Морозовского р-н</t>
  </si>
  <si>
    <t>Г-ввод ул. Осипенко 19 г Морозовск</t>
  </si>
  <si>
    <t>31.18.2018</t>
  </si>
  <si>
    <t>Г-ввод ул.Интернационалистов,15,лит.А,г.Новочеркасск,стор.</t>
  </si>
  <si>
    <t>Г-ввод ул.Поворотная,4,г.Новочеркасск,аренда</t>
  </si>
  <si>
    <t>Г-ввод ул.Миронова,44/18,г.Новочеркасск,стор.</t>
  </si>
  <si>
    <t>Г-ввод пер.Короткий,17,лит.А,г.Новочеркасск, стор.</t>
  </si>
  <si>
    <t>Г-ввод ул.Красноармейская,133а,лит.А,г.Новочеркасск, аренда</t>
  </si>
  <si>
    <t>Г-ввод ул.Азовская,13,г.Новочеркасск, стор.</t>
  </si>
  <si>
    <t>Г-ввод ул.Восьмая пер.Вербный, уч-к 236, лит.В СНТ № 7, г.Новочеркасск, стор.</t>
  </si>
  <si>
    <t>Г-ввод ул.Красноармейская,111,г.Новочеркасск,аренда</t>
  </si>
  <si>
    <t>Г-ввод ул.А.А.Никольского,122,г.Новочеркасск,аренда</t>
  </si>
  <si>
    <t>Г-ввод ул.Ленина,128,лит.А.,Б,ст.Кривянская,Октябрьский р-н.стор.</t>
  </si>
  <si>
    <t>Г-ввод ул.Казачья,19а,г.Новочеркасск,аренда</t>
  </si>
  <si>
    <t>Г-ввод ул.Заречная,3,кв.1,п.Задонский,Багаевский р-н,стор.</t>
  </si>
  <si>
    <t>Г-ввод СНТ Виноград,кв-л 1,уч-к 16, ул.Благодатная,лит.А.,Аксайский р-н,стор.</t>
  </si>
  <si>
    <t>Г-ввод пер.Рощинский,6-н,г.Новочеркасск,аренда</t>
  </si>
  <si>
    <t>Г-ввод пер.Студенческий,29,лит.А,г.Новочеркасск,аренда</t>
  </si>
  <si>
    <t>Г-ввод ул.Атамана Платова,2,лит.А,ст.Кривянская,Октябрьский р-н,стор.</t>
  </si>
  <si>
    <t>Г-ввод с/т Малинка,уч-к 357, ул.14-я Линия, лит.А,г.Новочеркасск,стор.</t>
  </si>
  <si>
    <t>Г-ввод ул.Ященко,А.А.,6, г.Новочеркасск,стор.</t>
  </si>
  <si>
    <t>Г-ввод ул.Петровская,6,Литер А,Г,г.Новочеркасск,стор.</t>
  </si>
  <si>
    <t>РГ ст.Бессергеневская, Октябрьского района (2 этап),инв.00-000509</t>
  </si>
  <si>
    <t>РГ ст.Бессергеневская, Октябрьского района (3 этап),инв.00-001104</t>
  </si>
  <si>
    <t>РГ х.Калинин, Октябрьского района (3 этап),инв.00-000897</t>
  </si>
  <si>
    <t>Г-ввод ул.Ростовский выезд,15,г.Новочеркасск,аренда</t>
  </si>
  <si>
    <t>Г-ввод ул.Сенная,10,г.Новочеркасск,аренда</t>
  </si>
  <si>
    <t>Г-ввод ул.Московская,17, лит.А,П,г.Новочеркасск,аренда</t>
  </si>
  <si>
    <t>Г-ввод СНТ Виноград,квартал 1, уч-к 20, ул.Отрадная,лит.А,Аксайский р-н,стор.</t>
  </si>
  <si>
    <t>Г-ввод ул.Зоологическая,34,г.Новочеркасск,аренда</t>
  </si>
  <si>
    <t>Г-ввод ул.Успенская,17,г.Новочеркасск,стор.</t>
  </si>
  <si>
    <t>Г-ввод ул.Народная,18,п.Персиановский,Октябрьский р-н,стор.</t>
  </si>
  <si>
    <t>Г-ввод ул.Клубная,8,лит.А,ст.Заплавская,Октябрьский р-н,стор.</t>
  </si>
  <si>
    <t>Г-ввод с/т уч-к 27, ул.Первая,лит.В,г.Новочеркасск,стор.</t>
  </si>
  <si>
    <t>Г-ввод с/т уч-к 54,лит.А,г.Новочеркасск,стор.</t>
  </si>
  <si>
    <t>Г-ввод с/т Донские зори, НЗСП уч-к 500, лит.Д,г.Новочеркасск,стор.</t>
  </si>
  <si>
    <t>Г-ввод ул.Ореховая,4, лит.А, п.Персиановский,Октябрьский р-н,стор.</t>
  </si>
  <si>
    <t>Г-ввод ул.Железнодорожная,105,лит.А, г.Новочеркасск,стор.</t>
  </si>
  <si>
    <t>Г-ввод ул.Бульвар Роз,10, лит.А,г.Новочеркасск,стор.</t>
  </si>
  <si>
    <t>Г-ввод ул.Щорса,198,г.Новочеркасск,аренда</t>
  </si>
  <si>
    <t>Г-ввод ул.Худякова,16а,лит.А,г.Новочеркасск,стор.</t>
  </si>
  <si>
    <t>РГ для газ-я х.Яново-Грушевский,Октябрьского района, инв.000013504</t>
  </si>
  <si>
    <t>РГ ст.Бессергеневская, Октябрьского района (1 этап), инв.000015697</t>
  </si>
  <si>
    <t>РГ ул.Крыжановского,Дорожной,пер.Прямому,Снежному,Механизаторов газ.бывш. п.Лугового,г.Новочеркасск, инв.00-002501</t>
  </si>
  <si>
    <t>ГВНД ул.Седова,Шевцовой,Кошевого,пер.Морозова, туп.Новослободского, г.Новочеркасск, инв.000016815</t>
  </si>
  <si>
    <t>Г-ввод с/т Донские зори, НЗСП уч-к 251,г.Новочеркасск,стор.</t>
  </si>
  <si>
    <t>Г-ввод ул.Калинина,61,с.Песчанокопское,Песчанокопский р-н,стор.</t>
  </si>
  <si>
    <t>Г-ввод ул.Родниковая,8,г.Сальск,стор.</t>
  </si>
  <si>
    <t>ГВНД ул.Халтурина,пос.Мехлесхоз, г.Сальск, инв.31-03337</t>
  </si>
  <si>
    <t>Г-ввод к з.у.с.к.н.61:35:0000000:200, ОАО Балабинское, Семикаракорский р р-н,аренда</t>
  </si>
  <si>
    <t>Г-ввод ул.Ст.Разина, 48 х.Евсеевский к РГ х.Евсеевский, Усть-Донецкого р-на, аренда</t>
  </si>
  <si>
    <t>по договору</t>
  </si>
  <si>
    <t>Г-ввод ДНТ Камыш,124,с.Николаевка,Неклиновский р-н,стор.</t>
  </si>
  <si>
    <t>Г-ввод Металлург-2 сад,160,с.Бессергеневка ВНГ ул.Мирн1,ШГРП-3,с.Бессергеновка,Неклиновский р-н</t>
  </si>
  <si>
    <t>Г-ввод Николаевское шоссе,19-1,СТ Весна,уч-к 88,г.Таганрог,стор.</t>
  </si>
  <si>
    <t>Г-ввод пер.13-й Комсомольский,2,х.Мержаново, к ВНГ х.Мержан,с/т Голубые Ели,Неклиновский р-н,аренда</t>
  </si>
  <si>
    <t>Г-ввод пер.15-й Мариупольский,28,Шолоховская,8,г.Таганрог,стор.</t>
  </si>
  <si>
    <t>Г-ввод пер.Гоголевский,11,г.Таганрог,к ГНД Ленина,г.Таганрог,аренда</t>
  </si>
  <si>
    <t>Г-ввод пер.Колхозный,2а,г.Таганрог,к ГНД А.Глушко,аренда</t>
  </si>
  <si>
    <t>Г-ввод пер.Садовый,5,с.Каменно-Андрианово,Неклиновский р-н,стор.</t>
  </si>
  <si>
    <t>Г-ввод пер.Советский,8,х.Марьевка,Неклиновский р-н,стор.</t>
  </si>
  <si>
    <t>Г-ввод пер.Черемушки,15,с.Кульбаково,РГНД ул.Черемушки,Неклиновский р-н.аренда</t>
  </si>
  <si>
    <t>Г-ввод пр.5-й Квартальный,3,г.Таганрог,к ГНД КРАСНЫЙ,г.Таганрог,аренда</t>
  </si>
  <si>
    <t>Г-ввод с/т Дружба-1, уч-к 304,г.Таганрог,стор.</t>
  </si>
  <si>
    <t>Г-ввод с/т Мичуринец-1,М-65,г.Таганрог,стор.</t>
  </si>
  <si>
    <t>Г-ввод с/т Прибой,218,с.Николаевка,Неклиновский р-н,стор.</t>
  </si>
  <si>
    <t>Г-ввод с/т Прибой,352,с.Николаевка,Неклиновский р-н,стор.</t>
  </si>
  <si>
    <t>Г-ввод сад Бережок,77,х.Грузиновка,Неклиновский р-н,стор.</t>
  </si>
  <si>
    <t>Г-ввод сад Энтузиаст-2,1,с.Николаевка,ВНГ с.Николаевка,Гаевка,АГРС Троицкое,Неклиновский р-н,аренда</t>
  </si>
  <si>
    <t>Г-ввод СНТ Коммунальник-1,уч-к 51,г.Таганрог,стор.</t>
  </si>
  <si>
    <t>Г-ввод СНТ Омега,141,г.Таганрог,стор.</t>
  </si>
  <si>
    <t>Г-ввод СНТ Энтузиаст,165, М.Чулек, Неклиновский р-н,стор.</t>
  </si>
  <si>
    <t>Г-ввод СТ Мичуринец,78, п.Новоприморский, Неклиновский р-н,стор.</t>
  </si>
  <si>
    <t>Г-ввод ул.1-я Садовая,25, п.Подлесный, к ГСД Мираж,х.Подлесный,Неклиновский р-н,стор.</t>
  </si>
  <si>
    <t>Г-ввод ул.Александровская,160,г.Таганрог,к ГНД-14,ул.А.Глушко,г.Таганрог,аренда</t>
  </si>
  <si>
    <t>Г-ввод ул.Березовая,7,п.М-Курган, к ГНД ул.Степная,Интернац,Матвеево-Курганский р-н,аренда</t>
  </si>
  <si>
    <t>Г-ввод ул.Вокзальная,45,г.Таганрог,к ГНД 218,2м.ул.Канавная,27,Кварт проезд,г.Таганрог,аренда</t>
  </si>
  <si>
    <t>Г-ввод ул.Дзержинского,22,с.Натальевка,к ПГ от АГРС Таганр,межп.,ГРП,с.Натальевка,Неклиновский р-н,аренда</t>
  </si>
  <si>
    <t>Г-ввод ул.Зеленая,39,с.Новобессергеновка,Неклиновский р-н,стор.</t>
  </si>
  <si>
    <t>Г-ввод ул.Кедровая,28,с.Новобессергеновка,Неклиновский р-н,стор.</t>
  </si>
  <si>
    <t>Г-ввод ул.Котляра,2,ул.Черняховского,14,г.Таганрог,к ГНД Р.Люксембург,г.Таганрог,аренда</t>
  </si>
  <si>
    <t>Г-ввод ул.Куйбышева,43б,с.Петрушино,к ВНГ ул.Энгель,Новостр,с.Петрушино,Неклиновский р-н,аренда</t>
  </si>
  <si>
    <t>Г-ввод ул.Куйбышева,49а,с.Петрушино,к ВНГ ул.Энгель,Новостр,с.Петрушино,Неклиновский р-н,аренда</t>
  </si>
  <si>
    <t>Г-ввод ул.Куйбышева,87А,с.Петрушино,к ВНГ ул.Энгель,Новостр,Стах,Неклиновский р-н,аренда</t>
  </si>
  <si>
    <t>Г-ввод ул.Л.Чайкиной,35-3,г.Таганрог,к ГСД З.Космодемьянской,Инструмент,г.Таганрог,аренда</t>
  </si>
  <si>
    <t>Г-ввод ул.Лазоревая,4,х.Колесниково,Неклиновский р-н,стор.</t>
  </si>
  <si>
    <t>Г-ввод ул.Лесная,31а,с.Новобессергеновка,Неклиновский р-н,стор.</t>
  </si>
  <si>
    <t>Г-ввод ул.Лесная,55,с.Новобессергеновка,Неклиновский р-н,стор.</t>
  </si>
  <si>
    <t>Г-ввод ул.М.Лиманная,2-1,ДНТ Лагуна,уч-к 147,г.Таганрог,стор.</t>
  </si>
  <si>
    <t>Г-ввод ул.Металлургическая,22,с.Покровское,Неклиновский р-н,стор.</t>
  </si>
  <si>
    <t>Г-ввод ул.Петровская,4,с.Николаевка,Неклиновский р-н,стор.</t>
  </si>
  <si>
    <t>Г-ввод ул.Пионерская,10,п.Дмитриадовка к НГ ул.1-я Степная,Мирн,Полев,Неклиновский р-н,аренда</t>
  </si>
  <si>
    <t>Г-ввод ул.Полевая,211,с/т Прибой,с.Николаевка,Неклиновский р-н,стор.</t>
  </si>
  <si>
    <t>Г-ввод ул.Прохладная,9,с.Покровское,Неклиновский р-н,стор.</t>
  </si>
  <si>
    <t>Г-ввод ул.Пушкина,92,с.Русская Слободка, К ПГ ГРС р/к Первомай,х.Кр.Десант,Неклиновский р-н,аренда</t>
  </si>
  <si>
    <t>Г-ввод ул.Речная,11,с.Новобессергеновка,Неклиновский р-н.стор.</t>
  </si>
  <si>
    <t>Г-ввод ул.Речная,15,с.Новобессергеновка,Неклиновский р-н.стор.</t>
  </si>
  <si>
    <t>Г-ввод ул.Речная,1а,с.Новобессергеновка,Неклиновский р-н.стор.</t>
  </si>
  <si>
    <t>Г-ввод ул.Садовая,17,с.Вареновка,РГНД ул.Лебедева,с.Бессергеновка,Неклиновский р-н,стор.</t>
  </si>
  <si>
    <t>Г-ввод ул.Свободы,28,с.Новобессергеновка,Неклиновский р-н,стор.</t>
  </si>
  <si>
    <t>Г-ввод ул.Севастопольская,8а,г.Таганрог,к ГНД-16, Украинский,г.Таганрог,аренда</t>
  </si>
  <si>
    <t>Г-ввод ул.Сосновая,2а,с.Новобессергеновка,Неклиновский р-н,стор.</t>
  </si>
  <si>
    <t>Г-ввод ул.Социалистическая,152-5,г.Таганрог,ГСД Бухта Андреева-Дачи,г.Таганрог,аренда</t>
  </si>
  <si>
    <t>Г-ввод ул.Толбухина,2,г.Таганрог,к ГНД 3м.,ул.А.Глушко,г.Таганрог,аренда</t>
  </si>
  <si>
    <t>Г-ввод ул.Транспортная,38,с.Новобессергеневка, к ВНГ ул.Космон,Гаг,с.Новобессергеновка,Неклиновский р-н,аренда</t>
  </si>
  <si>
    <t>Г-ввод ул.Чехова,174,с.Покровское,Неклиновский р-н,стор.</t>
  </si>
  <si>
    <t>Г-ввод ул.Шевченко,155,г.Таганрог, к ГНД ул.Грозненская,г.Таганрог,аренда</t>
  </si>
  <si>
    <t>Г-ввод ул.Штыба,70,г.Таганрог, к ГНД 26802,15м,ул.Цветная,г.Таганрог,аренда</t>
  </si>
  <si>
    <t>Г-ввод ул.Яковенко,43е,пер.Зеленый,19а,г.Таганрог,к ГНД 686м.,Зеленая,114,г.Таганрог,аренда</t>
  </si>
  <si>
    <t>ГСНД с.Красная Горка,х.Лесной,Матвеево-Курганский р-н,инв.22-06747</t>
  </si>
  <si>
    <t>Г-ввод ул.Сарьяна,28/42,х.Ленинаван,Мясниковский р-н,стор.</t>
  </si>
  <si>
    <t>Г-ввод пер.8-й Путеводный,уч-к 54, с/т Изумруд,Мясниковский р-н,стор.</t>
  </si>
  <si>
    <t>Г-ввод ул.Дачная,4,х.Ленинаван,Мясниковский р-н,стор.</t>
  </si>
  <si>
    <t>Г-ввод ул.Пролетарская,77а,с.Чалтырь,Мясниковский р-н,стор.</t>
  </si>
  <si>
    <t>Г-ввод ул.Сарьяна,31,х.Ленинаван,Мясниковский р-н,стор.</t>
  </si>
  <si>
    <t>ПГСД ул.Ленина ул.Середкина до ГРП ул.Шаумяна,с.Большие Салы. Мясниковский р-н,инв.22-00481</t>
  </si>
  <si>
    <t>ГНД ул.Абовяна, с.Чалтырь,Мясниковский р-н,инв.22-00128</t>
  </si>
  <si>
    <t>Г-ввод ул.1-я Ленинская,1г.,с.Большие Салы,Мясниковский р-н,стор.</t>
  </si>
  <si>
    <t>Г-ввод ул.Ореховая,4, х. Кр. Крым,  Мясниковский р-н ,стор.</t>
  </si>
  <si>
    <t>Г-ввод ул.Речная,3ж,с.Чалтырь,Мясниковский р-н,стор.</t>
  </si>
  <si>
    <t>Г-ввод ул.Дачная,20,х.Ленинаван,Мясниковский р-н,стор.</t>
  </si>
  <si>
    <t>Г-ввод ул.Цветочная,12,х.Ленинакан,Мясниковский р-н,стор.</t>
  </si>
  <si>
    <t>Г-ввод ул.Олимпийская,23,х.Красный Крым,Мясниковский р-н,стор.</t>
  </si>
  <si>
    <t>Г-ввод ул.Степная,47г,х.Калинин,Мясниковский р-н,стор.</t>
  </si>
  <si>
    <t>Г-ввод ул.Степная,47в,х.Калинин,Мясниковский р-н,стор.</t>
  </si>
  <si>
    <t>Г-ввод ул.Цветочная,34, ДНП п.Озерный,Мясниковский р-н,стор.</t>
  </si>
  <si>
    <t>Г-ввод ул.Свободы,13,х.Красный Крым,Мясниковский р-н,стор.</t>
  </si>
  <si>
    <t>Г-ввод ул.Донская,6-БИ,х.Калинин,Мясниковский р-н,стор.</t>
  </si>
  <si>
    <t>Г-ввод ул.17-я Линия,7,с.Крым,Мясниковский р-н,стор.</t>
  </si>
  <si>
    <t>Г-ввод СНТ Сириус,уч-к 125,г.Ростов-на-Дону,стор.</t>
  </si>
  <si>
    <t>Г-ввод пер.10-й Путеводный,1а, СНТ Сириус,г.Ростов-на-Дону,стор.</t>
  </si>
  <si>
    <t>Г-ввод ул.2-я Линия,36а,с.Чалтырь,Мясниковский р-н,стор.</t>
  </si>
  <si>
    <t>Г-ввод ул.Хатламаджияна,3,х.Ленинаван,Мясниковский р-н,стор.</t>
  </si>
  <si>
    <t>Г-ввод ул.Хатламаджияна,4,х.Ленинаван,Мясниковский р-н,стор.</t>
  </si>
  <si>
    <t>ГСД х.Савченко,х.Стоянов,Х.Федя-кий, Мясниковский р-н,инв.22-06386</t>
  </si>
  <si>
    <t>Г-ввод с/т Солнышко, уч-к 78, Мясниковский р-н,стор.</t>
  </si>
  <si>
    <t>Г-ввод ул.Кардашяна,39, с. Крым,  Мясниковский р-н ,стор.</t>
  </si>
  <si>
    <t>Г-ввод С/Т Автомибилист,164,Мясниковский р-н,стор.</t>
  </si>
  <si>
    <t>Г-ввод ул.Абрикосовая,18, ДНП п.Озерный,Мясниковский р-н,стор.</t>
  </si>
  <si>
    <t>Г-ввод ул.Глинки,14,х.Ленинаван, Мясниковский р-н,стор.</t>
  </si>
  <si>
    <t>Г-ввод ул.Г.Бабияна,4а,с.Крым,Мясниковский р-н, стор.</t>
  </si>
  <si>
    <t>Г-ввод ул.Тенистая,17, х.Ленинаван, Мясниковский р-н, стор.</t>
  </si>
  <si>
    <t>Г-ввод ул.Березовая,24, п.Озерный,Мясниковский р-н,стор.</t>
  </si>
  <si>
    <t>Г-ввод ул.Самшитовая,24,п.Темерницкий,Аксайский р-н,стор.</t>
  </si>
  <si>
    <t>Г-ввод ул.им.А.Карелина,31,х.Ленинаван,Мясниковский р-н,стор.</t>
  </si>
  <si>
    <t>Г-ввод ул.Абовяна,40а, х.Ленинаван, Мясниковский р-н, стор.</t>
  </si>
  <si>
    <t>ПГНД  ул.Пролетарская с.Султан- Салы, Мясниковский р-н, инв.22-00942</t>
  </si>
  <si>
    <t>Г-ввод ул.им.А.Карелина,15,х.Ленинаван,Мясниковский р-н,стор.</t>
  </si>
  <si>
    <t>Г-ввод ул.Вечерняя,6,г.Ростов-на-Дону,стор.</t>
  </si>
  <si>
    <t>Г-ввод ул.Красная,28,х.Красный Крым,Мясниковский р-н,стор.</t>
  </si>
  <si>
    <t>Г-ввод ул.Свободы,21,х.Красный Крым, Мясниковский р-н, стор.</t>
  </si>
  <si>
    <t>Г-ввод 1й км.автодороги Ростов-Новошахтинск, уч-к 11/19,  Мясниковский р-н,стор.</t>
  </si>
  <si>
    <t>Г-ввод пл.Рыбака,1,г.Ростов-на-Дону к ГНД по пл. Рыбака, аренда</t>
  </si>
  <si>
    <t>Г-ввод ул.Еременко,56д,г.Ростов-на-Дону, к ПГСД ул.Доватора,г.Ростов-на-Дону,аренда</t>
  </si>
  <si>
    <t>Г-ввод СНТ Мечта,уч 9а,г.Ростов-на-Дону,стор.</t>
  </si>
  <si>
    <t>Г-ввод пр.Михайловский, кн.61:02:06000056:4361, п. Темерницкий, Аксайский р,стор.</t>
  </si>
  <si>
    <t>Г-ввод пер.2-й Доступный,54/12, СТ Садовод,г.Ростов-на-Дону,стор.</t>
  </si>
  <si>
    <t>Г-ввод ул.4-я Городецкая,12/4,СТ Защитник,г.Ростов-на-Дону,стор.</t>
  </si>
  <si>
    <t>Г-ввод пер.7-й Лазоревый,66А, СНТ Урожай, г.Ростов-на-Дону, стор.</t>
  </si>
  <si>
    <t>Г-ввод СНТ Защитник,3/5,г.Ростов-на-Дону,стор.</t>
  </si>
  <si>
    <t>Г-ввод СНТ Защитник,15/36,г.Ростов-на-Дону,стор.</t>
  </si>
  <si>
    <t>Г-ввод ДНТ Исток, уч 174, г.Ростов-на-Дону,стор.</t>
  </si>
  <si>
    <t>Г-ввод ул.2-я Гравитационная,5, СНТ Орбита,уч 76,г.Ростов-на-Дону,стор.</t>
  </si>
  <si>
    <t>Г-ввод ул.Жавель,36,х.Камышеваха,Аксайский р-н,стор.</t>
  </si>
  <si>
    <t>Г-ввод пер.4-й Лазоревый,34/13,СНТ Урожай,г.Ростов-на-Дону,стор.</t>
  </si>
  <si>
    <t>Г-ввод ул.Волжская,165а/79,г.Ростов-на-Дону, к ПГНД ул.Можайская,г.Ростов-на-Дону,аренда</t>
  </si>
  <si>
    <t>Г-ввод пер.1-й Газонный,20,СНТ Южтехмонтаж,г.Ростов-на-Дону,стор.</t>
  </si>
  <si>
    <t>Г-ввод ул.Федоровская,8,п.Темерницкий,Аксайский р-н,стор.</t>
  </si>
  <si>
    <t>Г-ввод ул.5-я Престижная,58/16, ДНТ Гамма-Труд,г.Ростов-на-Дону,стор.</t>
  </si>
  <si>
    <t>Г-ввод пер.Парусный,43а,г.Ростов-на-Дону,к НГНД пер.Кущевский,24в,г.Ростов-на-Дону,аренда</t>
  </si>
  <si>
    <t>Г-ввод ул.Литейная,3,х.Камышеваха,Аксайский р-н,стор.</t>
  </si>
  <si>
    <t>Г-ввод СНТ Защитник,4/17, г.Ростов-на-Дону,стор.</t>
  </si>
  <si>
    <t>Г-ввод ул.Федоровская,33,п.Темерницкий,Аксайский р-н,стор.</t>
  </si>
  <si>
    <t>Г-ввод ул.Риволи,2,х.Камышеваха,Аксайский р-н,стор.</t>
  </si>
  <si>
    <t>Г-ввод ул.Текстильная,11,СНТ Союз-Газ,г.Ростов-на-Дону,стор.</t>
  </si>
  <si>
    <t>Г-ввод пер.5-й Лазоревый,37, СНТ Урожай,г.Ростов-на-Дону,стор.</t>
  </si>
  <si>
    <t>Г-ввод ул.Риволи,34,х.Камышеваха,Аксайский р-н,стор.</t>
  </si>
  <si>
    <t>Г-ввод пр.Ленина,158,г.Ростов-на-Дону,к РГНД пр.Ленина,г.Ростов-на-Дону,аренда</t>
  </si>
  <si>
    <t>Г-ввод пер.4-й Лазоревый,11,СНТ Урожай,г.Ростов-на-Дону,стор.</t>
  </si>
  <si>
    <t>Г-ввод пр-езд 1-й Тверской,58,п.Темерницкий,Аксайский р-н.стор.</t>
  </si>
  <si>
    <t>Г-ввод пер.4-й Экипажный,75,СНТ Аэро,г.Ростов-на-Дону,стор.</t>
  </si>
  <si>
    <t>Г-ввод ул.Ажурная,47,СНТ Союз,306,г.Ростов-на-Дону,стор.</t>
  </si>
  <si>
    <t>Г-ввод пер.4-й Аграрный,21, СНТ Ростсельмашевец, 12-300, г.Ростов-на-Дону,стор.</t>
  </si>
  <si>
    <t>Г-ввод пер.Саперный спуск,45, г.Ростов-на-Дону к НГНД пер.Шефский спуск,г.Ростов-на-Дону,аренда</t>
  </si>
  <si>
    <t>Г-ввод ул.Строительная,33А,п.Темерницкий,Аксайский р-н,стор.</t>
  </si>
  <si>
    <t>Г-ввод пр-езд Видный,16/14,п.Темерницкий,Аксайский р-н,стор.</t>
  </si>
  <si>
    <t>Г-ввод СНТ Урожай,7-04,к.н. 61:44:0082612:111,г.Ростов-на-Дону,стор.</t>
  </si>
  <si>
    <t>Г-ввод пер.9-й Лазоревый,52,СНТ Урожай,г.Ростов-на-Дону,стор.</t>
  </si>
  <si>
    <t>Г-ввод пер.9-й Лазоревый,47, СНТ Урожай,г.Ростов-на-Дону,стор.</t>
  </si>
  <si>
    <t>Г-ввод ул.3-я Турнирная,46/9,СНТ Братство,242,г.Ростов-на-Дону,стор.</t>
  </si>
  <si>
    <t>Г-ввод ул.Риволи,18,х.Камышеваха,Аксайский р-н,стор.</t>
  </si>
  <si>
    <t>Г-ввод СНТ Союз,200,г.Ростов-на-Дону,стор.</t>
  </si>
  <si>
    <t>Г-ввод СНТ Аэро,248,г.Ростов-на-Дону,стор.</t>
  </si>
  <si>
    <t>Г-ввод пер.Лебяжий,4,г.Ростов-на-Дону,стор.</t>
  </si>
  <si>
    <t>Г-ввод пер.7-й Лазоревый,38б,СНТ Урожай,г.Ростов-на-Дону,стор.</t>
  </si>
  <si>
    <t>Г-ввод пер.7-й Лазоревый,42,СНТ Урожай,г.Ростов-на-Дону,стор.</t>
  </si>
  <si>
    <t>Г-ввод пер.1-й Лазоревый,52,СНТ Урожай,г.Ростов-на-Дону,стор.</t>
  </si>
  <si>
    <t>Г-ввод пер.Продольный,20,г.Ростов-на-ДОну,стор.</t>
  </si>
  <si>
    <t>Г-ввод пер.5-й Касательный,1,СНТ Инициативный,г.Ростов-на-Дону,стор.</t>
  </si>
  <si>
    <t>Г-ввод СНТ Донподход,52,г.Ростов-на-Дону,стор.</t>
  </si>
  <si>
    <t>Г-ввод СНТ Донподход,к.н.61:44:44:0070704:1315, г.Ростов-на-Дону,стор.</t>
  </si>
  <si>
    <t>Г-ввод ул.Жавель,28а,х.Камышеваха,Аксайский р-н.стор.</t>
  </si>
  <si>
    <t>Г-ввод ул.Портовая,335,г.Ростов-на-Дону,стор.</t>
  </si>
  <si>
    <t>Г-ввод пер.7-й Лазоревый,93, г.Ростов-на-Дону, стор.</t>
  </si>
  <si>
    <t>Г-ввод СНТ Урожай,1-35, к.н.61:44:0082612:782,г.Ростов-на-Дону,стор.</t>
  </si>
  <si>
    <t>Г-ввод ул.Платиновая,13,х.Камышеваха,к ПГСД ул.Платиновая,Аксайский р-н,аренда</t>
  </si>
  <si>
    <t>Г-ввод СНТ Защитник,13/44,г.Ростов-на-Дону,стор.</t>
  </si>
  <si>
    <t>Г-ввод ул.Рыцарская,109, СНТ Братство,г.Ростов-на-Дону,стор.</t>
  </si>
  <si>
    <t>Г-ввод пер.2-й Поклонный,42 снт Аэро 42, г.Ростов-на-Дону, стор.</t>
  </si>
  <si>
    <t>Г-ввод НСТ Авангард-2,к.н. 61:44:0051108:215, г.Ростов-на-Дону, кПГНД СНТ Авангард-2, г.Ростов-на-Дону, стор.</t>
  </si>
  <si>
    <t>Г-ввод СТ Лесополоса,133,г.Ростов-на-Дону,стор.</t>
  </si>
  <si>
    <t>Г-ввод СНТ Защитник ,14/2, г.Ростов-на-Дону,стор.</t>
  </si>
  <si>
    <t>Г-ввод пр-зд Елизаветинский,5,п.Темерницкий,Аксайский р-, стор.</t>
  </si>
  <si>
    <t>Г-ввод ул.Версальская,20, х. Камышеваха, Аксайский район, стор</t>
  </si>
  <si>
    <t>Г-ввод пер.4-й Экипажный,3/21,СНТ Аэро,г.Ростов-на-Дону,стор.</t>
  </si>
  <si>
    <t>Г-ввод ул.5-я Процветания,9б,СНТ Урожай,г.Ростов-на-Дону,стор.</t>
  </si>
  <si>
    <t>Г-ввод пер.Краснофлотский,12,г.Ростов-на-Дону,стор.</t>
  </si>
  <si>
    <t>Г-ввод ул.Кржижановского,252,г.Ростов-на-Дону,стор.</t>
  </si>
  <si>
    <t>Г-ввод пр.Шолохова,29а,г.Ростов-на-Дону,аренда</t>
  </si>
  <si>
    <t>Г-ввод СНТ Алмаз,5,г.Ростов-на-Дону,стор.</t>
  </si>
  <si>
    <t>Г-ввод ул.2-я линия,24,ДНТ Гамма-Труд, г.Ростов-на-Дону, стор.</t>
  </si>
  <si>
    <t>Г-ввод ул.3-я Бежевая,30,ДНТ Донподход,г.Ростов-на-Дону,стор.</t>
  </si>
  <si>
    <t>Г-ввод пр-д Михайловский,11, п.Темерницкий Аксайский р-н, стор.</t>
  </si>
  <si>
    <t>Г-ввод ул.Левобережная,4, ст Донское, уч-к 372, ст.Ольгинская,Аксайский р-н ,стор.</t>
  </si>
  <si>
    <t>Г-ввод ул.Гравитационная,21, СНТ Орбита,29,г.Ростов-на-Дону,стор.</t>
  </si>
  <si>
    <t>Г-ввод пр-езд Алексеевский,9/20,п.Темерницкий,Аксайский р-н,стор.</t>
  </si>
  <si>
    <t>Г-ввод ул.7-я Линия,23,ДНТ Гамма-Труд г.Ростов-на-Дону, стор.</t>
  </si>
  <si>
    <t>Г-ввод ул.Пушкинская,12/88, г.Ростов-на-Дону, к ГСД пер. Халтуринский,г.Ростов-на-Дону,аренда</t>
  </si>
  <si>
    <t>Г-ввод пр.40-летия Победы, к.н. 61:44:0030913:2,г.Ростов-на-Дону, аренда</t>
  </si>
  <si>
    <t>Г-ввод СНТ Северная Ривьера,1-253,г.Ростов-на-Дону, стор</t>
  </si>
  <si>
    <t>Г-ввод пер.Медведицкий,6А, г. Ростов-на-Дону, стор</t>
  </si>
  <si>
    <t>Г-ввод ул.Геологическая,1, г. Ростов-на-Дону, аренда</t>
  </si>
  <si>
    <t>Г-ввод ул.Линейная,61/65, г. Ростов-на-Дону, аренда</t>
  </si>
  <si>
    <t>Г-ввод ул.Ярошенко,6, г. Ростов-на-Дону, аренда</t>
  </si>
  <si>
    <t>Г-ввод пр.Королева,1-п, г. Ростов-на-Дону, аренда</t>
  </si>
  <si>
    <t>Г-ввод СНТ Урожай, 9-я линия,60,к.н.61:44:0082612:1876, г. Ростов-на-Дону, стор</t>
  </si>
  <si>
    <t>Г-ввод ул.Орбитальная,149, г. Ростов-на-Дону, стор</t>
  </si>
  <si>
    <t>Г-ввод ул.Кулагина,62/45Б, г. Ростов-на-Дону, аренда</t>
  </si>
  <si>
    <t>Г-ввод пер.3-й Поселковый,27/216 бч, г.Ростов-на-Дону,аренда</t>
  </si>
  <si>
    <t>Г-ввод ул.27-я Линия, 55, г. Ростов-на-Дону, аренда</t>
  </si>
  <si>
    <t>Г-ввод пер.Звездный,10, п. Верхнетемерницкий, Аксайский р стор</t>
  </si>
  <si>
    <t>Г-ввод ул.Терская, 20, (61:44:0031931:124) г. Ростов-на-Дону, аренда</t>
  </si>
  <si>
    <t>Г-ввод СНТ Восход УВД,114,  г. Ростов-на-Дону стор</t>
  </si>
  <si>
    <t>Г-ввод Юго-Восточная промзона,1/5, Мясниковский  г. Ростов-на-Дону аренда</t>
  </si>
  <si>
    <t>Г-ввод пер.7-й Самобытный,4а,  г. Ростов-на-Дону стор</t>
  </si>
  <si>
    <t>Г-ввод ул.Ермолова,16  г. Аксай стор</t>
  </si>
  <si>
    <t>Г-ввод СНТ Инициативный,252, к/н 61:44:0030606:195  г. Ростов-на-Дону стор</t>
  </si>
  <si>
    <t>Г-ввод ДНТ Утро 203,   г. Ростов-на-Дону стор</t>
  </si>
  <si>
    <t>Г-ввод ДНТ Утро 208,пер. 2-й Берестяной, 64  г. Ростов-на-Дону стор</t>
  </si>
  <si>
    <t>Г-ввод ДНТ Утро 93,  г. Ростов-на-Дону стор</t>
  </si>
  <si>
    <t>Г-ввод ДНТ Утро 58,  пер. 5-й Кустарный,62, г. Ростов-на-Дону стор</t>
  </si>
  <si>
    <t>Г-ввод пер.52-й Берестяной,31, ДНТ Утро, г. Ростов-на-Дону стор</t>
  </si>
  <si>
    <t>Г-ввод ДНТ Утро 268,  г. Ростов-на-Дону стор</t>
  </si>
  <si>
    <t>Г-ввод ДНТ Утро 18,  г. Ростов-на-Дону стор</t>
  </si>
  <si>
    <t>Г-ввод пер.7-й Лазоревый,3, СНТ Урожай,г.Ростов-на-Дону,стор.</t>
  </si>
  <si>
    <t>Г-ввод пер.4-й Экипажный,83,СНТ Аэро,г.Ростов-на-Дону,стор.</t>
  </si>
  <si>
    <t>Г-ввод пер.4-й Лазоревый,41,СНТ Урожай, к.н.61:44:0082612:1687,г.Ростов-на-Дону,стор.</t>
  </si>
  <si>
    <t>Г-ввод пер.4-й Газонный,16, СНТ Южтехмонтаж-1,г.Ростов-на-Дону,стор.</t>
  </si>
  <si>
    <t>Г-ввод пр-зд Достойный,14,п.Темерницкий,Аксайский р-н,стор.</t>
  </si>
  <si>
    <t>Г-ввод пер.Машиностроительный,7/110,г.Ростов-на-Дону,стор.</t>
  </si>
  <si>
    <t>Г-ввод ул.Ореховая,30а,п.Темерницкий,Аксайский р-н,стор.</t>
  </si>
  <si>
    <t>Г-ввод ул.Ореховая,40,п.Темерницкий,Аксайский р-н,стор.</t>
  </si>
  <si>
    <t>Г-ввод ул.Ореховая,39,п.Темерницкий,Аксайский р-н,стор.</t>
  </si>
  <si>
    <t>Г-ввод ул.4-я Престижная,19, ДНТ ГАмма-Труд,г.Ростов-на-Дону, стор.</t>
  </si>
  <si>
    <t>Г-ввод пер.9-й Лазоревый,43а,СНТ Урожай,г.Ростов-на-Дону,стор.</t>
  </si>
  <si>
    <t>Г-ввод СНТ Орбита,10,г.Ростов-на-Дону,стор.</t>
  </si>
  <si>
    <t>Г-ввод 3-й Газонный,13, г.Ростов-на-Дону, стор.</t>
  </si>
  <si>
    <t>Г-ввод пр-зд Теплый,18,п.Темерницкий,Аксайский р-н,стор.</t>
  </si>
  <si>
    <t>Г-ввод ул.Никелевая,4,х.Камышеваха,Аксайский р-н,стор.</t>
  </si>
  <si>
    <t>Г-ввод ул.Доватора,141,г.Ростов-на-Дону,стор.</t>
  </si>
  <si>
    <t>Г-ввод ул.Домовитая,4,ДНТ Исток,125,г.Ростов-на-Дону,стор.</t>
  </si>
  <si>
    <t>Г-ввод ул.Ереванская,31б, г.Ростов-на-Дону,стор.</t>
  </si>
  <si>
    <t>Г-ввод пер.Камышовый,12,СНТ Курортник,г.Ростов-на-Дону.стор.</t>
  </si>
  <si>
    <t>Г-ввод ул.Каштановая,133а,г.Ростов-на-Дону,стор.</t>
  </si>
  <si>
    <t>Г-ввод ул.6-я Улица,40,СНТ Донподход,г.Ростов-на-Дону,стор.</t>
  </si>
  <si>
    <t>Г-ввод ул.2-я Литературная,12,г.Ростов-на-Дону,стор.</t>
  </si>
  <si>
    <t>Г-ввод ул.Бронзовая,4а,х.Камышеваха,Аксайский р-н,стор.</t>
  </si>
  <si>
    <t>Г-ввод СНТ Защитник,6/15,г.Ростов-на-Дону,стор.</t>
  </si>
  <si>
    <t>Г-ввод пер.4-й Лазоревый,25,СНТ Урожай,г.Ростов-на-Дону,стор.</t>
  </si>
  <si>
    <t>Г-ввод пер.5-й Лазоревый,78,СНТ Урожай,г.Ростов-на-Дону,стор.</t>
  </si>
  <si>
    <t>Г-ввод пер.3-й Лазоревый,73,СНТ Урожай,г.Ростов-на-Дону,стор.</t>
  </si>
  <si>
    <t>Г-ввод пер.7-й Лазоревый,52А, СНТ Урожай, г.Ростов-на-Дону, стор.</t>
  </si>
  <si>
    <t>Г-ввод СНТ Урожай, 9-82, г.Ростов-на-Дону,стор.</t>
  </si>
  <si>
    <t>Г-ввод ул.Левобережная,4, уч-к 1254а,  с/т Донское,ст.Ольгинская,Аксайский р-н ,стор.</t>
  </si>
  <si>
    <t>Г-ввод пр.1-й Тверской,65,п.Темерницкий,к ПГНД по пр.1-й Тверской,п.Темерницкий,Аксайский р-н,стор.</t>
  </si>
  <si>
    <t>Г-ввод ул.Праздничная,20А,СНТ Донподход,г,Ростов-на-Дону, стор.</t>
  </si>
  <si>
    <t>Г-ввод ул.Жавель,17, х.Камышеваха,Аксайский р-н, стор.</t>
  </si>
  <si>
    <t>Г-ввод пер.Ветренный,4,г.Ростов-на-Дону,стор.</t>
  </si>
  <si>
    <t>Г-ввод пр.1-й Тверской,59,п.Темерницкий,к ПГНД по пр.1-й Тверской,п.Темерницкий,Аксайский р-н,стор.</t>
  </si>
  <si>
    <t>Г-ввод ул.Екатерининская,56,п.Темерницкий,Аксайский р-н,стор.</t>
  </si>
  <si>
    <t>Г-ввод ул.3-я Престижная,13, г.Ростов-на-Дону,аренда</t>
  </si>
  <si>
    <t>Г-ввод ул.10-я Престижная,29/37, ДНТ Гамма-Труд,г.Ростов-на-Дону,стор.</t>
  </si>
  <si>
    <t>Г-ввод ул.Рассветная,10/41,г.Ростов-на-Дону,стор.</t>
  </si>
  <si>
    <t>Г-ввод ул.Российская,пер.Центральный, уч.62/5,х.Ленинакан,Мясниковский р-н,стор.</t>
  </si>
  <si>
    <t>Г-ввод ул.Российская,уч.77,х.Ленинакан,Мясниковский р-н,стор.</t>
  </si>
  <si>
    <t>Г-ввод ул.Семейная,уч-к 11, х.Ленинакан,Мясниковский р-н, стор.</t>
  </si>
  <si>
    <t>Г-ввод ул.Семейная,уч-к 8, х.Ленинакан,Мясниковский р-н, стор.</t>
  </si>
  <si>
    <t>Г-ввод ул.Российская,уч.25,х.Ленинакан,Мясниковский р-н,стор.</t>
  </si>
  <si>
    <t>Г-ввод ул.Российская,уч.28,х.Ленинакан,Мясниковский р-н,стор.</t>
  </si>
  <si>
    <t>Г-ввод ул.Надежды,уч-к 11, х.Ленинакан,Мясниковский р-н,стор.</t>
  </si>
  <si>
    <t>Г-ввод ул.Республиканская,53, г.Ростов-на-Дону к НГНД ул.Республиканская,аренда</t>
  </si>
  <si>
    <t>Г-ввод ул.Солидарности,132/19,заявитель Дербенев А.Н., к ГНД пер.М.Расковой,г.Ростов-на-Дону,аренда</t>
  </si>
  <si>
    <t>Г-ввод пер.5-й Лазоревый,1а, г.Ростов-на-Дону, к ПГНД по тер. СНТ Урожай, г.Ростов-на-Дону, стор.</t>
  </si>
  <si>
    <t>Г-ввод пер.4-й Лазоревый,76,СНТ Урожай,г.Ростов-на-Дону,стор.</t>
  </si>
  <si>
    <t>Г-ввод ул.Гусева,73,г.Ростов-на-Дону,к ПГНД ул.Гусева, 73,г.Ростов-на-Дону,аренда</t>
  </si>
  <si>
    <t>Г-ввод ул.Тракторная,51,кв.1А,г.Ростов-на-Дону,аренда</t>
  </si>
  <si>
    <t>Г-ввод ул.Камская,103а,г.Ростов-на-Дону,к ПГНД ул.Камская,г.Ростов-на-Дону,аренда</t>
  </si>
  <si>
    <t>Г-ввод ул.Бусыгина,11а,г.Ростов-на-Дону, к ПГНД ул.Лесная,г.Ростов-на-Дону,аренда</t>
  </si>
  <si>
    <t>Г-ввод ул.Ларина,19а,г.Ростов-на-Дону,к ПГНД пер.Боевой,г.Ростов-на-Дону,аренда</t>
  </si>
  <si>
    <t>Г-ввод ул.Самоцветная,33,х.Камышеваха,Аксайский р-н, стор.</t>
  </si>
  <si>
    <t>Г-ввод пер.4-й Берестяной,65, уч-к 338, ДНТ Утро, г.Ростов-на-Дону, стор.</t>
  </si>
  <si>
    <t>Г-ввод пер.5-й Лазоревый,63,СНТ Урожай,г.Ростов-на-Дону,стор.</t>
  </si>
  <si>
    <t>Г-ввод ул.2-я Престижная,22,ДНТ Гамма-Труд,г.Ростов-на-Дону,стор.</t>
  </si>
  <si>
    <t>Г-ввод ул.Материнская,2/16,ДНТ Исток,г.Ростов-на-Дону,стор.</t>
  </si>
  <si>
    <t>Г-ввод пр-езд Ореховый,24/1,п.Темерницкий,Аксайский р-н.стор.</t>
  </si>
  <si>
    <t>Г-ввод ул.6-я Процветания,14б,СНТ Урожай,г.Ростов-на-Дону,стор.</t>
  </si>
  <si>
    <t>Г-ввод пр-езд Александровский,11,п.Темерницкий,Аксайский р-н,стор.</t>
  </si>
  <si>
    <t>Г-ввод ДНТ Исток,265,г.Ростов-на-Дону,стор.</t>
  </si>
  <si>
    <t>Г-ввод ул.3-я Бежевая,13,ДНТ Донподход,г.Ростов-на-Дону,стор.</t>
  </si>
  <si>
    <t>Г-ввод ул.Гравитационная,25, СНТ Орбита,31,г.Ростов-на-Дону,стор.</t>
  </si>
  <si>
    <t>Г-ввод ул.9-я Ненаглядная,29,СНТ Защитник,26/14,г.Ростов-на-Дону,стор.</t>
  </si>
  <si>
    <t>Г-ввод пр.Шолохова,121/1,г.Ростов-на-Дону,к ПГНД ул.Полторацкого,г.Ростов-на-Дону,аренда</t>
  </si>
  <si>
    <t>Г-ввод ул.Фурмановская,150,к РГСД ул.Фурмановская,г.Ростов-на-Дону,аренда</t>
  </si>
  <si>
    <t>Г-ввод пер.3-й Лазоревый,17,СНТ Урожай,3-17,г.Ростов-на-Дону,стор.</t>
  </si>
  <si>
    <t>Г-ввод пер.4-й Лазоревый,48 А,СНТ Урожай,4-48,г.Ростов-на-Дону,стор.</t>
  </si>
  <si>
    <t>Г-ввод севернее Ростовского моря в кв.12,уч.5,г.Ростов-на-Дону,ПГСД ул.Сорокина,г.Ростов-на-Дону,аренда</t>
  </si>
  <si>
    <t>Г-ввод ул.Благодатная,193,г.Ростов-на-Дону, ПГСД ул.Благодатная,г.Ростов-на-Дону,аренда</t>
  </si>
  <si>
    <t>Г-ввод пер.Саперный спуск,54/26,г.Ростов-на-Дону,к ПГНД пер.Булановский,г.Ростов-на-Дону,аренда</t>
  </si>
  <si>
    <t>Г-ввод пер.7-й Лазоревый,5,СНТ Урожай,г.Ростов-на-Дону,стор.</t>
  </si>
  <si>
    <t>Г-ввод ул.8-я Улица,к.н.61:44:0070704:1318,СНТ Донподход,,г.Ростов-на-Дону,стор.</t>
  </si>
  <si>
    <t>Г-ввод ул.Риволи,,38,х.Камышеваха,Аксайский р-н.стор.</t>
  </si>
  <si>
    <t>Г-ввод ул.Вселенной,54,г.Ростов-на-Дону,стор.</t>
  </si>
  <si>
    <t>Г-ввод пер.Рыбный,13,г.Ростов-на-Дону,к ПГНД пер.Рыбный,г.Ростов-на-Дону,аренда</t>
  </si>
  <si>
    <t>Г-ввод ул.Московская,67,ст.Мальчевская к НГ ул.Московская,39-49,59,32а-32д,Миллеровский р-н,аренда</t>
  </si>
  <si>
    <t>Г-ввод ул.Тенистая,15А,х.Краснянка,к НГ ул.Тенистая,8-16,15,17,х.Краснянка,Миллеровский р-н,аренда</t>
  </si>
  <si>
    <t>Г-ввод ул.Ломоносова,9А,г.Миллерово к НГ ул.Матросова,11-29,ул.Ломоносова,14-32,г.Миллерово,аренда</t>
  </si>
  <si>
    <t>Г-ввод ул.Школьная,7,х.Новоспасовка к НГ х.Новоспасовка,Миллеровский р-н,аренда</t>
  </si>
  <si>
    <t>Г-ввод ул.Речная,14Б,п.Тарасовский,Тарасовский р-н,стор.</t>
  </si>
  <si>
    <t>ПГВД ул.Декабристов,Артиллерийская, г.Миллерово,            инв.20-Ф0041 (ул.Декабристов, 4а)</t>
  </si>
  <si>
    <t>ПАО "Газпром газораспределение Ростов-на-Дону" в п.Зимовники</t>
  </si>
  <si>
    <t>РГ с.Федосеевка, Заветинского района (2 этап)</t>
  </si>
  <si>
    <t>РГ ст.Жуковская,Дубовского района, инв.000014625</t>
  </si>
  <si>
    <t>РГСД с.Заветное, Заветинского района (2 этап), инв.000016922</t>
  </si>
  <si>
    <t>РГСД с.Киселевка, Заветинского района, инв.000014686</t>
  </si>
  <si>
    <t>РГСНД с.Ремонтное, Ремонтненского района,инв.16-00498</t>
  </si>
  <si>
    <t>Г-ввод ул.Садовая,12,х.Михайловка,Красносулинский р-н,стор.</t>
  </si>
  <si>
    <t xml:space="preserve">ГНВСД п.Алмазный,г.Гуково,инв.000013047 </t>
  </si>
  <si>
    <t>ГНД МКР Западный ул.Пригородная,Западная, Садовая,Мира,г.Зверево, инв.9-41509</t>
  </si>
  <si>
    <t>ГНД ул.Поверхностная, Димитрова,Тельмана, Мануильского,Ленина,Шолохова, г.Гуково, инв.9-41530</t>
  </si>
  <si>
    <t>ГСД ГРП и РГНД ул.1-я Советская, 2-я Советская,пер.Гайдара,г.Гуково, инв.9-41533</t>
  </si>
  <si>
    <t>РГ для газ-ции кв.153,154,163,164 жд ш.Ростовская г.Гуково, инв.9-41579</t>
  </si>
  <si>
    <t>РГ от ШРП №10 пос.ш. "Ростовская" г.Гуково РО, инв.000016921</t>
  </si>
  <si>
    <t>РГНСД ул.Колод,Алмазн,Фрунзе,Первом,Железнод,Красноарм,Урицк,г.Гуково, инв.9-41569</t>
  </si>
  <si>
    <t>РГ п.Дуваново,Даниловка,Новогрессовский,Власовка, г.Шахты (1 этап), инв.000015919</t>
  </si>
  <si>
    <t>МиниАТС Samsung OfficeServ 7070 (20SLIСтанция телефонная автоматическая-мини Samsung OfficeServ 7070</t>
  </si>
  <si>
    <t>МиниАТС Samsung OfficeServ 7070 (32SLIСтанция телефонная автоматическая-мини Samsung OfficeServ 7070</t>
  </si>
  <si>
    <t>МиниАТС Samsung OfficeServ 7070 (40SLI, 4DLI, 12TRK, 8VoIP)</t>
  </si>
  <si>
    <t>МиниАТС Samsung OfficeServ 7200 (64SLIСтанция телефонная автоматическая-мини Samsung OfficeServ 7070</t>
  </si>
  <si>
    <t>Сплит-система-24</t>
  </si>
  <si>
    <t>Оборудование газобаллонное на КПГ LOVATO (19 шт)</t>
  </si>
  <si>
    <t>Счетчик ГСБ-400</t>
  </si>
  <si>
    <t xml:space="preserve">Сч.07 </t>
  </si>
  <si>
    <t>ГВД сл.Родионово-Несветайская - с.Кутейниково, Родионово-Несветайский район,инв.23-00082</t>
  </si>
  <si>
    <t>ГНД ул.Заречная, х.Павленков, Родионово-Несветайский район,инв23-00118</t>
  </si>
  <si>
    <t>ГСД и ГНД ул.Гв.-Танкистов (ГРПБ),сл.Родионово-Несветайская,Родионов-Несветайского р-на,инв.23-00066</t>
  </si>
  <si>
    <t>ГВНД.ул.Полевая-Гв-Танкистов,х.Новотроицкий, Родионово-Несветайского р-на, инв.23-00080</t>
  </si>
  <si>
    <t>Г-ввод к.н.61:33:0600012:642, с.Генеральское,Родионово-Несветайский р-н, стор.</t>
  </si>
  <si>
    <t>Г-ввод ул.1 Мая,1,кв.2, к РГНД х.Молоканский,Красносулинский р-н,аренда</t>
  </si>
  <si>
    <t>Г-ввод ул.1 Мая,5а,кв.1, к РГНД х.Молоканский,Красносулинский р-н,аренда</t>
  </si>
  <si>
    <t>Г-ввод ул.Доброхотских,1А, х. Михайловка, Красносулинский р стор</t>
  </si>
  <si>
    <t>Г-ввод ул.Доброхотских,41/1, х. Михайловка, Красносулинский р стор</t>
  </si>
  <si>
    <t>Г-ввод ул.Доброхотских,41/2, х. Михайловка, Красносулинский р стор</t>
  </si>
  <si>
    <t>Г-ввод ул.Доброхотских,42/2, х. Михайловка, Красносулинский р стор</t>
  </si>
  <si>
    <t>Г-ввод ул.Зеленая,47, х. Михайловка, Красносулинский р стор</t>
  </si>
  <si>
    <t>04.07,2018</t>
  </si>
  <si>
    <t>Г-ввод ул.Краснопартизанская,128, х.Гуково,Красносулинский р-н,стор.</t>
  </si>
  <si>
    <t>Г-ввод ул.Ленина,18А, х. Михайловка, Красносулинский р стор</t>
  </si>
  <si>
    <t>Г-ввод ул.Ленина,33/1, х. Михайловка, Красносулинский р стор</t>
  </si>
  <si>
    <t>Г-ввод ул.Ленина,33/2, х. Михайловка, Красносулинский р стор</t>
  </si>
  <si>
    <t>Г-ввод ул.Ленина,35/1, х. Михайловка, Красносулинский р стор</t>
  </si>
  <si>
    <t>Г-ввод ул.Ленина,40, х. Михайловка, Красносулинский р стор</t>
  </si>
  <si>
    <t>Г-ввод ул.Ленина,44, х. Михайловка, Красносулинский р стор</t>
  </si>
  <si>
    <t>Г-ввод ул.Октябрьская,23, г. Зверево аренда</t>
  </si>
  <si>
    <t>Г-ввод ул.Победы,2а, х.Молоканский, к РГНД х.Молоканский,Красносулинский р-н,аренда</t>
  </si>
  <si>
    <t>Г-ввод ул.Чехова,20, г. Зверево аренда</t>
  </si>
  <si>
    <t>Г-ввод ул.Юбилейная,25 х. Михайловка, Красносулинский р стор</t>
  </si>
  <si>
    <t>ПАО "Газпром газораспределение Ростов-на-Дону" в г. Новошахтинске</t>
  </si>
  <si>
    <t xml:space="preserve">Итого затрат по незавершенному строительству: </t>
  </si>
  <si>
    <t>Председатель комиссии:</t>
  </si>
  <si>
    <t>Зам.ген.директора по КСИ</t>
  </si>
  <si>
    <t>___________________</t>
  </si>
  <si>
    <t>А.А. Ноздрачев</t>
  </si>
  <si>
    <t>Члены комиссии:</t>
  </si>
  <si>
    <t xml:space="preserve"> </t>
  </si>
  <si>
    <t>Начальник управления по эксплуатации газораспределительных систем</t>
  </si>
  <si>
    <t>И.О. Сафронов</t>
  </si>
  <si>
    <t>Начальник управления  капитального строительства</t>
  </si>
  <si>
    <t>А.Н. Авилов</t>
  </si>
  <si>
    <t xml:space="preserve">Ведущий бухгалтер </t>
  </si>
  <si>
    <t>М.В.Щусь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</si>
</sst>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.0"/>
    <numFmt numFmtId="166" formatCode="0.0"/>
  </numFmts>
  <fonts count="41" x14ac:knownFonts="1">
    <font>
      <sz val="8"/>
      <name val="Arial"/>
      <family val="2"/>
    </font>
    <font>
      <sz val="9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i/>
      <sz val="9"/>
      <name val="Arial Cyr"/>
      <charset val="204"/>
    </font>
    <font>
      <sz val="9"/>
      <name val="Arial Cyr"/>
      <charset val="204"/>
    </font>
    <font>
      <sz val="10"/>
      <name val="Helv"/>
    </font>
    <font>
      <sz val="8"/>
      <name val="Arial"/>
      <family val="2"/>
    </font>
    <font>
      <b/>
      <sz val="9"/>
      <name val="Arial Cyr"/>
      <charset val="204"/>
    </font>
    <font>
      <b/>
      <i/>
      <sz val="12"/>
      <name val="Arial Cyr"/>
      <family val="2"/>
      <charset val="204"/>
    </font>
    <font>
      <sz val="9"/>
      <name val="Arial"/>
      <family val="2"/>
      <charset val="1"/>
    </font>
    <font>
      <sz val="9"/>
      <name val="Helv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9"/>
      <name val="Arial"/>
      <family val="2"/>
      <charset val="204"/>
    </font>
    <font>
      <i/>
      <sz val="9"/>
      <name val="Arial Cyr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21"/>
      <name val="Arial"/>
      <family val="2"/>
      <charset val="204"/>
    </font>
    <font>
      <i/>
      <sz val="9"/>
      <color theme="1"/>
      <name val="Arial Cyr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i/>
      <sz val="10"/>
      <name val="Arial"/>
      <family val="2"/>
      <charset val="204"/>
    </font>
    <font>
      <i/>
      <sz val="9"/>
      <name val="Arial Cyr"/>
      <family val="2"/>
      <charset val="204"/>
    </font>
    <font>
      <i/>
      <sz val="9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</font>
    <font>
      <i/>
      <sz val="9"/>
      <color indexed="8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indexed="63"/>
      <name val="Arial"/>
      <family val="2"/>
      <charset val="204"/>
    </font>
    <font>
      <sz val="11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0" fontId="10" fillId="0" borderId="0"/>
    <xf numFmtId="0" fontId="15" fillId="0" borderId="0"/>
    <xf numFmtId="0" fontId="16" fillId="0" borderId="0"/>
    <xf numFmtId="0" fontId="10" fillId="0" borderId="0"/>
    <xf numFmtId="0" fontId="16" fillId="0" borderId="0"/>
    <xf numFmtId="0" fontId="37" fillId="0" borderId="0" applyNumberFormat="0" applyFill="0" applyBorder="0" applyAlignment="0" applyProtection="0"/>
  </cellStyleXfs>
  <cellXfs count="204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12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2" xfId="0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9" fillId="2" borderId="0" xfId="0" applyFont="1" applyFill="1" applyBorder="1"/>
    <xf numFmtId="0" fontId="14" fillId="2" borderId="0" xfId="0" applyFont="1" applyFill="1" applyBorder="1"/>
    <xf numFmtId="0" fontId="14" fillId="2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1" xfId="0" applyFill="1" applyBorder="1"/>
    <xf numFmtId="0" fontId="18" fillId="0" borderId="1" xfId="0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wrapText="1"/>
    </xf>
    <xf numFmtId="0" fontId="18" fillId="0" borderId="1" xfId="1" applyNumberFormat="1" applyFont="1" applyFill="1" applyBorder="1" applyAlignment="1">
      <alignment horizontal="right" wrapText="1"/>
    </xf>
    <xf numFmtId="0" fontId="18" fillId="0" borderId="1" xfId="0" applyNumberFormat="1" applyFont="1" applyFill="1" applyBorder="1" applyAlignment="1">
      <alignment horizontal="right" wrapText="1"/>
    </xf>
    <xf numFmtId="0" fontId="22" fillId="0" borderId="1" xfId="0" applyNumberFormat="1" applyFont="1" applyFill="1" applyBorder="1" applyAlignment="1">
      <alignment horizontal="right" wrapText="1"/>
    </xf>
    <xf numFmtId="0" fontId="7" fillId="0" borderId="1" xfId="1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 wrapText="1"/>
    </xf>
    <xf numFmtId="0" fontId="1" fillId="3" borderId="0" xfId="0" applyFont="1" applyFill="1" applyBorder="1"/>
    <xf numFmtId="0" fontId="7" fillId="0" borderId="1" xfId="2" applyNumberFormat="1" applyFont="1" applyFill="1" applyBorder="1" applyAlignment="1">
      <alignment horizontal="right" wrapText="1"/>
    </xf>
    <xf numFmtId="0" fontId="1" fillId="4" borderId="0" xfId="0" applyFont="1" applyFill="1" applyBorder="1"/>
    <xf numFmtId="4" fontId="6" fillId="0" borderId="1" xfId="0" applyNumberFormat="1" applyFont="1" applyFill="1" applyBorder="1"/>
    <xf numFmtId="0" fontId="0" fillId="0" borderId="1" xfId="0" applyFont="1" applyFill="1" applyBorder="1"/>
    <xf numFmtId="0" fontId="24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right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right" wrapText="1"/>
    </xf>
    <xf numFmtId="0" fontId="23" fillId="0" borderId="1" xfId="1" applyNumberFormat="1" applyFont="1" applyFill="1" applyBorder="1" applyAlignment="1">
      <alignment horizontal="right" wrapText="1"/>
    </xf>
    <xf numFmtId="0" fontId="23" fillId="0" borderId="1" xfId="0" applyFont="1" applyFill="1" applyBorder="1" applyAlignment="1">
      <alignment horizontal="right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3" fillId="0" borderId="1" xfId="1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1" fontId="1" fillId="0" borderId="6" xfId="0" applyNumberFormat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/>
    <xf numFmtId="4" fontId="6" fillId="0" borderId="1" xfId="1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center" vertical="center"/>
    </xf>
    <xf numFmtId="4" fontId="2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" fontId="3" fillId="0" borderId="1" xfId="0" applyNumberFormat="1" applyFont="1" applyFill="1" applyBorder="1" applyAlignment="1">
      <alignment vertical="center"/>
    </xf>
    <xf numFmtId="4" fontId="1" fillId="0" borderId="1" xfId="5" applyNumberFormat="1" applyFont="1" applyFill="1" applyBorder="1"/>
    <xf numFmtId="2" fontId="17" fillId="0" borderId="1" xfId="0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34" fillId="0" borderId="1" xfId="1" applyNumberFormat="1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wrapText="1"/>
    </xf>
    <xf numFmtId="4" fontId="3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right" wrapText="1"/>
    </xf>
    <xf numFmtId="0" fontId="26" fillId="0" borderId="1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horizontal="right" vertical="top" wrapText="1"/>
    </xf>
    <xf numFmtId="0" fontId="32" fillId="0" borderId="1" xfId="0" applyFont="1" applyFill="1" applyBorder="1" applyAlignment="1">
      <alignment vertical="top" wrapText="1"/>
    </xf>
    <xf numFmtId="0" fontId="27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35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 wrapText="1"/>
    </xf>
    <xf numFmtId="0" fontId="23" fillId="0" borderId="1" xfId="1" applyNumberFormat="1" applyFont="1" applyFill="1" applyBorder="1" applyAlignment="1">
      <alignment horizontal="right" vertical="center" wrapText="1"/>
    </xf>
    <xf numFmtId="2" fontId="0" fillId="0" borderId="1" xfId="0" applyNumberFormat="1" applyBorder="1" applyAlignment="1">
      <alignment horizontal="center"/>
    </xf>
    <xf numFmtId="2" fontId="8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2" fontId="3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top" wrapText="1"/>
    </xf>
    <xf numFmtId="4" fontId="6" fillId="3" borderId="1" xfId="0" applyNumberFormat="1" applyFont="1" applyFill="1" applyBorder="1"/>
    <xf numFmtId="0" fontId="23" fillId="0" borderId="1" xfId="0" applyNumberFormat="1" applyFont="1" applyFill="1" applyBorder="1" applyAlignment="1">
      <alignment horizontal="right" vertical="center" wrapText="1"/>
    </xf>
    <xf numFmtId="0" fontId="23" fillId="0" borderId="1" xfId="7" applyFont="1" applyFill="1" applyBorder="1" applyAlignment="1">
      <alignment horizontal="right" wrapText="1"/>
    </xf>
    <xf numFmtId="49" fontId="23" fillId="0" borderId="1" xfId="0" applyNumberFormat="1" applyFont="1" applyFill="1" applyBorder="1" applyAlignment="1">
      <alignment horizontal="right" wrapText="1"/>
    </xf>
    <xf numFmtId="2" fontId="23" fillId="0" borderId="1" xfId="0" applyNumberFormat="1" applyFont="1" applyFill="1" applyBorder="1" applyAlignment="1">
      <alignment horizontal="right" wrapText="1"/>
    </xf>
    <xf numFmtId="0" fontId="23" fillId="0" borderId="1" xfId="1" applyNumberFormat="1" applyFont="1" applyFill="1" applyBorder="1" applyAlignment="1">
      <alignment horizontal="right" wrapText="1" indent="1"/>
    </xf>
    <xf numFmtId="0" fontId="5" fillId="0" borderId="1" xfId="0" applyNumberFormat="1" applyFont="1" applyFill="1" applyBorder="1" applyAlignment="1">
      <alignment horizontal="left" vertical="top" wrapText="1"/>
    </xf>
    <xf numFmtId="4" fontId="8" fillId="0" borderId="1" xfId="7" applyNumberFormat="1" applyFont="1" applyFill="1" applyBorder="1" applyAlignment="1">
      <alignment horizontal="center" vertical="center"/>
    </xf>
    <xf numFmtId="4" fontId="11" fillId="0" borderId="1" xfId="7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right" vertical="top" wrapText="1" inden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right" wrapText="1" indent="1"/>
    </xf>
    <xf numFmtId="0" fontId="5" fillId="0" borderId="1" xfId="0" applyNumberFormat="1" applyFont="1" applyFill="1" applyBorder="1" applyAlignment="1">
      <alignment horizontal="right" vertical="top" wrapText="1" indent="1"/>
    </xf>
    <xf numFmtId="0" fontId="2" fillId="0" borderId="1" xfId="5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right" vertical="top" wrapText="1"/>
    </xf>
    <xf numFmtId="0" fontId="36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3" fillId="0" borderId="1" xfId="2" applyNumberFormat="1" applyFont="1" applyFill="1" applyBorder="1" applyAlignment="1">
      <alignment horizontal="right" vertical="center" wrapText="1"/>
    </xf>
    <xf numFmtId="0" fontId="23" fillId="0" borderId="1" xfId="2" applyNumberFormat="1" applyFont="1" applyFill="1" applyBorder="1" applyAlignment="1">
      <alignment horizontal="right" vertical="center"/>
    </xf>
    <xf numFmtId="4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4" fontId="5" fillId="0" borderId="1" xfId="5" applyNumberFormat="1" applyFont="1" applyFill="1" applyBorder="1" applyAlignment="1">
      <alignment horizontal="center" vertical="center"/>
    </xf>
    <xf numFmtId="0" fontId="10" fillId="0" borderId="1" xfId="5" applyFill="1" applyBorder="1" applyAlignment="1">
      <alignment vertical="center"/>
    </xf>
    <xf numFmtId="0" fontId="40" fillId="0" borderId="1" xfId="5" applyFont="1" applyFill="1" applyBorder="1" applyAlignment="1">
      <alignment vertical="center"/>
    </xf>
    <xf numFmtId="4" fontId="3" fillId="0" borderId="1" xfId="5" applyNumberFormat="1" applyFont="1" applyFill="1" applyBorder="1" applyAlignment="1">
      <alignment horizontal="center" vertical="center"/>
    </xf>
    <xf numFmtId="4" fontId="1" fillId="0" borderId="1" xfId="5" applyNumberFormat="1" applyFont="1" applyBorder="1" applyAlignment="1">
      <alignment vertical="center"/>
    </xf>
    <xf numFmtId="0" fontId="1" fillId="0" borderId="1" xfId="5" applyFont="1" applyBorder="1" applyAlignment="1">
      <alignment vertical="center"/>
    </xf>
    <xf numFmtId="4" fontId="34" fillId="0" borderId="1" xfId="7" applyNumberFormat="1" applyFont="1" applyFill="1" applyBorder="1" applyAlignment="1">
      <alignment horizontal="center" vertical="center" wrapText="1"/>
    </xf>
    <xf numFmtId="4" fontId="38" fillId="0" borderId="1" xfId="7" applyNumberFormat="1" applyFont="1" applyFill="1" applyBorder="1" applyAlignment="1">
      <alignment horizontal="center" vertical="center" wrapText="1"/>
    </xf>
    <xf numFmtId="2" fontId="34" fillId="0" borderId="1" xfId="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" fontId="3" fillId="0" borderId="1" xfId="5" applyNumberFormat="1" applyFont="1" applyFill="1" applyBorder="1" applyAlignment="1">
      <alignment horizontal="center" vertical="center" wrapText="1"/>
    </xf>
    <xf numFmtId="4" fontId="34" fillId="0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0" fillId="0" borderId="1" xfId="5" applyNumberFormat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1" fontId="0" fillId="0" borderId="1" xfId="5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39" fillId="0" borderId="1" xfId="2" applyNumberFormat="1" applyFont="1" applyFill="1" applyBorder="1" applyAlignment="1">
      <alignment horizontal="center" vertical="center" wrapText="1"/>
    </xf>
    <xf numFmtId="164" fontId="1" fillId="0" borderId="1" xfId="5" applyNumberFormat="1" applyFont="1" applyFill="1" applyBorder="1" applyAlignment="1">
      <alignment horizontal="center" vertical="center"/>
    </xf>
    <xf numFmtId="164" fontId="1" fillId="0" borderId="1" xfId="5" applyNumberFormat="1" applyFont="1" applyFill="1" applyBorder="1" applyAlignment="1">
      <alignment horizontal="center" vertical="center" wrapText="1"/>
    </xf>
    <xf numFmtId="164" fontId="5" fillId="0" borderId="1" xfId="5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8">
    <cellStyle name="Excel Built-in Excel Built-in Excel Built-in Excel Built-in Excel Built-in Excel Built-in Excel Built-in Excel Built-in Excel Built-in Обычный_инвентаризация" xfId="6"/>
    <cellStyle name="Excel Built-in Normal" xfId="5"/>
    <cellStyle name="TableStyleLight1" xfId="4"/>
    <cellStyle name="Обычный" xfId="0" builtinId="0"/>
    <cellStyle name="Обычный 2" xfId="3"/>
    <cellStyle name="Обычный_инвентаризация" xfId="1"/>
    <cellStyle name="Обычный_Лист1" xfId="2"/>
    <cellStyle name="Пояснение" xfId="7" builtinId="5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CC8B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N1707"/>
  <sheetViews>
    <sheetView tabSelected="1" view="pageBreakPreview" topLeftCell="A1670" zoomScale="115" zoomScaleNormal="120" zoomScaleSheetLayoutView="115" workbookViewId="0">
      <selection activeCell="D1694" sqref="D1694"/>
    </sheetView>
  </sheetViews>
  <sheetFormatPr defaultColWidth="11.33203125" defaultRowHeight="12" outlineLevelRow="2" x14ac:dyDescent="0.2"/>
  <cols>
    <col min="1" max="1" width="64.33203125" style="25" customWidth="1"/>
    <col min="2" max="3" width="19.5" style="91" customWidth="1"/>
    <col min="4" max="4" width="17.83203125" style="83" customWidth="1"/>
    <col min="5" max="5" width="23.6640625" style="84" customWidth="1"/>
    <col min="6" max="6" width="24.6640625" style="84" customWidth="1"/>
    <col min="7" max="7" width="25.33203125" style="84" customWidth="1"/>
    <col min="8" max="8" width="23.5" style="54" customWidth="1"/>
    <col min="9" max="9" width="24.33203125" style="54" customWidth="1"/>
    <col min="10" max="10" width="14.1640625" style="85" customWidth="1"/>
    <col min="11" max="11" width="16" style="15" customWidth="1"/>
    <col min="12" max="16384" width="11.33203125" style="1"/>
  </cols>
  <sheetData>
    <row r="1" spans="1:11" ht="12" customHeight="1" x14ac:dyDescent="0.2">
      <c r="A1" s="202" t="s">
        <v>1084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2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12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ht="12" customHeight="1" x14ac:dyDescent="0.2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12" customHeight="1" x14ac:dyDescent="0.2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ht="25.5" customHeight="1" thickBot="1" x14ac:dyDescent="0.25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s="5" customFormat="1" ht="55.5" customHeight="1" thickBot="1" x14ac:dyDescent="0.25">
      <c r="A7" s="34" t="s">
        <v>15</v>
      </c>
      <c r="B7" s="86" t="s">
        <v>16</v>
      </c>
      <c r="C7" s="87" t="s">
        <v>13</v>
      </c>
      <c r="D7" s="66" t="s">
        <v>12</v>
      </c>
      <c r="E7" s="55" t="s">
        <v>25</v>
      </c>
      <c r="F7" s="55" t="s">
        <v>24</v>
      </c>
      <c r="G7" s="55" t="s">
        <v>17</v>
      </c>
      <c r="H7" s="35" t="s">
        <v>18</v>
      </c>
      <c r="I7" s="36" t="s">
        <v>19</v>
      </c>
      <c r="J7" s="67" t="s">
        <v>20</v>
      </c>
      <c r="K7" s="111" t="s">
        <v>21</v>
      </c>
    </row>
    <row r="8" spans="1:11" s="5" customFormat="1" ht="12.75" thickBot="1" x14ac:dyDescent="0.25">
      <c r="A8" s="37">
        <v>1</v>
      </c>
      <c r="B8" s="92">
        <v>1</v>
      </c>
      <c r="C8" s="92">
        <v>2</v>
      </c>
      <c r="D8" s="68">
        <v>4</v>
      </c>
      <c r="E8" s="56">
        <v>6</v>
      </c>
      <c r="F8" s="56">
        <v>5</v>
      </c>
      <c r="G8" s="56">
        <v>7</v>
      </c>
      <c r="H8" s="64">
        <v>8</v>
      </c>
      <c r="I8" s="64">
        <v>9</v>
      </c>
      <c r="J8" s="52">
        <v>10</v>
      </c>
      <c r="K8" s="112">
        <v>11</v>
      </c>
    </row>
    <row r="9" spans="1:11" ht="23.25" customHeight="1" x14ac:dyDescent="0.2">
      <c r="A9" s="113" t="s">
        <v>22</v>
      </c>
      <c r="B9" s="88"/>
      <c r="C9" s="88"/>
      <c r="D9" s="69"/>
      <c r="E9" s="63"/>
      <c r="F9" s="63"/>
      <c r="G9" s="63"/>
      <c r="H9" s="53"/>
      <c r="I9" s="53"/>
      <c r="J9" s="70"/>
      <c r="K9" s="114"/>
    </row>
    <row r="10" spans="1:11" ht="23.25" customHeight="1" x14ac:dyDescent="0.2">
      <c r="A10" s="19"/>
      <c r="B10" s="89"/>
      <c r="C10" s="89"/>
      <c r="D10" s="130"/>
      <c r="E10" s="14"/>
      <c r="F10" s="14"/>
      <c r="G10" s="14"/>
      <c r="H10" s="43"/>
      <c r="I10" s="43"/>
      <c r="J10" s="71"/>
      <c r="K10" s="115"/>
    </row>
    <row r="11" spans="1:11" ht="24" outlineLevel="1" x14ac:dyDescent="0.2">
      <c r="A11" s="17" t="s">
        <v>165</v>
      </c>
      <c r="B11" s="89">
        <v>43069</v>
      </c>
      <c r="C11" s="89">
        <v>43465</v>
      </c>
      <c r="D11" s="130">
        <v>20</v>
      </c>
      <c r="E11" s="60">
        <v>462172.18</v>
      </c>
      <c r="F11" s="14"/>
      <c r="G11" s="60">
        <f>6817.04+20526.28</f>
        <v>27343.32</v>
      </c>
      <c r="H11" s="43">
        <f t="shared" ref="H11:H74" si="0">F11+E11+G11</f>
        <v>489515.5</v>
      </c>
      <c r="I11" s="43">
        <f>H11</f>
        <v>489515.5</v>
      </c>
      <c r="J11" s="71"/>
      <c r="K11" s="115"/>
    </row>
    <row r="12" spans="1:11" ht="12.75" outlineLevel="1" x14ac:dyDescent="0.2">
      <c r="A12" s="20" t="s">
        <v>166</v>
      </c>
      <c r="B12" s="89">
        <v>42916</v>
      </c>
      <c r="C12" s="89">
        <v>43800</v>
      </c>
      <c r="D12" s="130">
        <v>40</v>
      </c>
      <c r="E12" s="59">
        <v>129281.25</v>
      </c>
      <c r="F12" s="14"/>
      <c r="G12" s="14">
        <v>143997.88</v>
      </c>
      <c r="H12" s="43">
        <f t="shared" si="0"/>
        <v>273279.13</v>
      </c>
      <c r="I12" s="43">
        <f t="shared" ref="I12:I141" si="1">H12</f>
        <v>273279.13</v>
      </c>
      <c r="J12" s="72"/>
      <c r="K12" s="14"/>
    </row>
    <row r="13" spans="1:11" ht="31.5" customHeight="1" outlineLevel="1" x14ac:dyDescent="0.2">
      <c r="A13" s="17" t="s">
        <v>156</v>
      </c>
      <c r="B13" s="89">
        <v>1980</v>
      </c>
      <c r="C13" s="89">
        <v>43465</v>
      </c>
      <c r="D13" s="130">
        <v>15</v>
      </c>
      <c r="E13" s="60"/>
      <c r="F13" s="14">
        <v>1159171.18</v>
      </c>
      <c r="G13" s="14">
        <v>7369.34</v>
      </c>
      <c r="H13" s="43">
        <f t="shared" si="0"/>
        <v>1166540.52</v>
      </c>
      <c r="I13" s="43">
        <f t="shared" si="1"/>
        <v>1166540.52</v>
      </c>
      <c r="J13" s="16"/>
      <c r="K13" s="16"/>
    </row>
    <row r="14" spans="1:11" ht="27" customHeight="1" outlineLevel="1" x14ac:dyDescent="0.2">
      <c r="A14" s="17" t="s">
        <v>726</v>
      </c>
      <c r="B14" s="89">
        <v>43281</v>
      </c>
      <c r="C14" s="89">
        <v>43800</v>
      </c>
      <c r="D14" s="130">
        <v>10</v>
      </c>
      <c r="E14" s="14"/>
      <c r="F14" s="14"/>
      <c r="G14" s="14">
        <v>18704.37</v>
      </c>
      <c r="H14" s="43">
        <f t="shared" si="0"/>
        <v>18704.37</v>
      </c>
      <c r="I14" s="43">
        <f t="shared" si="1"/>
        <v>18704.37</v>
      </c>
      <c r="J14" s="18"/>
      <c r="K14" s="14"/>
    </row>
    <row r="15" spans="1:11" ht="12" customHeight="1" outlineLevel="1" x14ac:dyDescent="0.2">
      <c r="A15" s="17" t="s">
        <v>727</v>
      </c>
      <c r="B15" s="89">
        <v>43281</v>
      </c>
      <c r="C15" s="89">
        <v>43800</v>
      </c>
      <c r="D15" s="130">
        <v>10</v>
      </c>
      <c r="E15" s="14"/>
      <c r="F15" s="14"/>
      <c r="G15" s="14">
        <v>25855.439999999999</v>
      </c>
      <c r="H15" s="43">
        <f t="shared" si="0"/>
        <v>25855.439999999999</v>
      </c>
      <c r="I15" s="43">
        <f t="shared" si="1"/>
        <v>25855.439999999999</v>
      </c>
      <c r="J15" s="18"/>
      <c r="K15" s="14"/>
    </row>
    <row r="16" spans="1:11" ht="12" customHeight="1" outlineLevel="1" x14ac:dyDescent="0.2">
      <c r="A16" s="17" t="s">
        <v>728</v>
      </c>
      <c r="B16" s="89">
        <v>43281</v>
      </c>
      <c r="C16" s="89">
        <v>43800</v>
      </c>
      <c r="D16" s="130">
        <v>10</v>
      </c>
      <c r="E16" s="14"/>
      <c r="F16" s="14"/>
      <c r="G16" s="14">
        <v>16054.24</v>
      </c>
      <c r="H16" s="43">
        <f t="shared" si="0"/>
        <v>16054.24</v>
      </c>
      <c r="I16" s="43">
        <f t="shared" si="1"/>
        <v>16054.24</v>
      </c>
      <c r="J16" s="18"/>
      <c r="K16" s="14"/>
    </row>
    <row r="17" spans="1:11" ht="29.25" customHeight="1" outlineLevel="1" x14ac:dyDescent="0.2">
      <c r="A17" s="17" t="s">
        <v>738</v>
      </c>
      <c r="B17" s="89">
        <v>43281</v>
      </c>
      <c r="C17" s="89">
        <v>43800</v>
      </c>
      <c r="D17" s="187">
        <v>3</v>
      </c>
      <c r="E17" s="14"/>
      <c r="F17" s="14"/>
      <c r="G17" s="14">
        <v>8585.1200000000008</v>
      </c>
      <c r="H17" s="43">
        <f t="shared" si="0"/>
        <v>8585.1200000000008</v>
      </c>
      <c r="I17" s="43">
        <f t="shared" si="1"/>
        <v>8585.1200000000008</v>
      </c>
      <c r="J17" s="18"/>
      <c r="K17" s="14"/>
    </row>
    <row r="18" spans="1:11" ht="31.5" customHeight="1" outlineLevel="1" x14ac:dyDescent="0.2">
      <c r="A18" s="17" t="s">
        <v>1085</v>
      </c>
      <c r="B18" s="89">
        <v>43373</v>
      </c>
      <c r="C18" s="89">
        <v>43800</v>
      </c>
      <c r="D18" s="130">
        <v>3</v>
      </c>
      <c r="E18" s="60"/>
      <c r="F18" s="14"/>
      <c r="G18" s="14">
        <v>593.75</v>
      </c>
      <c r="H18" s="43">
        <f t="shared" si="0"/>
        <v>593.75</v>
      </c>
      <c r="I18" s="43">
        <f t="shared" si="1"/>
        <v>593.75</v>
      </c>
      <c r="J18" s="16"/>
      <c r="K18" s="16"/>
    </row>
    <row r="19" spans="1:11" ht="24" outlineLevel="1" x14ac:dyDescent="0.2">
      <c r="A19" s="20" t="s">
        <v>35</v>
      </c>
      <c r="B19" s="89">
        <v>41547</v>
      </c>
      <c r="C19" s="89">
        <v>43464</v>
      </c>
      <c r="D19" s="130">
        <v>40</v>
      </c>
      <c r="E19" s="14">
        <f>377118.64+20000</f>
        <v>397118.64</v>
      </c>
      <c r="F19" s="14"/>
      <c r="G19" s="14">
        <v>7539.41</v>
      </c>
      <c r="H19" s="43">
        <f t="shared" si="0"/>
        <v>404658.05</v>
      </c>
      <c r="I19" s="43">
        <f t="shared" si="1"/>
        <v>404658.05</v>
      </c>
      <c r="J19" s="72"/>
      <c r="K19" s="14"/>
    </row>
    <row r="20" spans="1:11" ht="24" outlineLevel="1" x14ac:dyDescent="0.2">
      <c r="A20" s="20" t="s">
        <v>14</v>
      </c>
      <c r="B20" s="89">
        <v>41268</v>
      </c>
      <c r="C20" s="89">
        <v>43617</v>
      </c>
      <c r="D20" s="130">
        <v>80</v>
      </c>
      <c r="E20" s="59">
        <f>5243373.83+5146764.69</f>
        <v>10390138.52</v>
      </c>
      <c r="F20" s="14">
        <f>11875462.66+4790060.24+105316+20175917.12</f>
        <v>36946756.020000003</v>
      </c>
      <c r="G20" s="14">
        <f>124311.16+1157162.23</f>
        <v>1281473.3899999999</v>
      </c>
      <c r="H20" s="43">
        <f t="shared" si="0"/>
        <v>48618367.930000007</v>
      </c>
      <c r="I20" s="43">
        <f t="shared" si="1"/>
        <v>48618367.930000007</v>
      </c>
      <c r="J20" s="72"/>
      <c r="K20" s="14"/>
    </row>
    <row r="21" spans="1:11" ht="33" customHeight="1" outlineLevel="1" x14ac:dyDescent="0.2">
      <c r="A21" s="20" t="s">
        <v>1086</v>
      </c>
      <c r="B21" s="89">
        <v>43297</v>
      </c>
      <c r="C21" s="89">
        <v>43404</v>
      </c>
      <c r="D21" s="130">
        <v>90</v>
      </c>
      <c r="E21" s="59">
        <v>211864.41</v>
      </c>
      <c r="F21" s="14">
        <v>1582533.9</v>
      </c>
      <c r="G21" s="14"/>
      <c r="H21" s="43">
        <f t="shared" si="0"/>
        <v>1794398.3099999998</v>
      </c>
      <c r="I21" s="43">
        <f t="shared" si="1"/>
        <v>1794398.3099999998</v>
      </c>
      <c r="J21" s="72"/>
      <c r="K21" s="14"/>
    </row>
    <row r="22" spans="1:11" ht="24" customHeight="1" outlineLevel="1" x14ac:dyDescent="0.2">
      <c r="A22" s="20" t="s">
        <v>737</v>
      </c>
      <c r="B22" s="89">
        <v>43281</v>
      </c>
      <c r="C22" s="89">
        <v>43800</v>
      </c>
      <c r="D22" s="130">
        <v>10</v>
      </c>
      <c r="E22" s="14"/>
      <c r="F22" s="14"/>
      <c r="G22" s="14">
        <v>2642.52</v>
      </c>
      <c r="H22" s="43">
        <f t="shared" si="0"/>
        <v>2642.52</v>
      </c>
      <c r="I22" s="43">
        <f t="shared" si="1"/>
        <v>2642.52</v>
      </c>
      <c r="J22" s="72"/>
      <c r="K22" s="14"/>
    </row>
    <row r="23" spans="1:11" ht="24" outlineLevel="1" x14ac:dyDescent="0.2">
      <c r="A23" s="21" t="s">
        <v>167</v>
      </c>
      <c r="B23" s="89">
        <v>43069</v>
      </c>
      <c r="C23" s="89">
        <v>43464</v>
      </c>
      <c r="D23" s="130">
        <v>65</v>
      </c>
      <c r="E23" s="60"/>
      <c r="F23" s="60">
        <v>185620.84</v>
      </c>
      <c r="G23" s="60">
        <f>2737.91+103555.01</f>
        <v>106292.92</v>
      </c>
      <c r="H23" s="43">
        <f t="shared" si="0"/>
        <v>291913.76</v>
      </c>
      <c r="I23" s="43">
        <f t="shared" si="1"/>
        <v>291913.76</v>
      </c>
      <c r="J23" s="72"/>
      <c r="K23" s="14"/>
    </row>
    <row r="24" spans="1:11" ht="36" outlineLevel="1" x14ac:dyDescent="0.2">
      <c r="A24" s="21" t="s">
        <v>168</v>
      </c>
      <c r="B24" s="89">
        <v>43069</v>
      </c>
      <c r="C24" s="89">
        <v>43465</v>
      </c>
      <c r="D24" s="130">
        <v>40</v>
      </c>
      <c r="E24" s="60">
        <v>394687.11</v>
      </c>
      <c r="F24" s="60"/>
      <c r="G24" s="60">
        <f>5821.64+22065.92</f>
        <v>27887.559999999998</v>
      </c>
      <c r="H24" s="43">
        <f t="shared" si="0"/>
        <v>422574.67</v>
      </c>
      <c r="I24" s="43">
        <f t="shared" si="1"/>
        <v>422574.67</v>
      </c>
      <c r="J24" s="72"/>
      <c r="K24" s="14"/>
    </row>
    <row r="25" spans="1:11" outlineLevel="1" x14ac:dyDescent="0.2">
      <c r="A25" s="17" t="s">
        <v>169</v>
      </c>
      <c r="B25" s="89">
        <v>43069</v>
      </c>
      <c r="C25" s="89">
        <v>43464</v>
      </c>
      <c r="D25" s="130">
        <v>50</v>
      </c>
      <c r="E25" s="14">
        <v>174478.69</v>
      </c>
      <c r="F25" s="14"/>
      <c r="G25" s="14">
        <f>2573.56+14164.64</f>
        <v>16738.2</v>
      </c>
      <c r="H25" s="43">
        <f t="shared" si="0"/>
        <v>191216.89</v>
      </c>
      <c r="I25" s="43">
        <f t="shared" si="1"/>
        <v>191216.89</v>
      </c>
      <c r="J25" s="73"/>
      <c r="K25" s="65"/>
    </row>
    <row r="26" spans="1:11" outlineLevel="1" x14ac:dyDescent="0.2">
      <c r="A26" s="17" t="s">
        <v>1065</v>
      </c>
      <c r="B26" s="89">
        <v>43069</v>
      </c>
      <c r="C26" s="89">
        <v>43464</v>
      </c>
      <c r="D26" s="130">
        <v>50</v>
      </c>
      <c r="E26" s="14">
        <v>174478.69</v>
      </c>
      <c r="F26" s="14"/>
      <c r="G26" s="14">
        <f>2573.56+14538.57</f>
        <v>17112.13</v>
      </c>
      <c r="H26" s="43">
        <f t="shared" si="0"/>
        <v>191590.82</v>
      </c>
      <c r="I26" s="43">
        <f t="shared" si="1"/>
        <v>191590.82</v>
      </c>
      <c r="J26" s="73"/>
      <c r="K26" s="65"/>
    </row>
    <row r="27" spans="1:11" ht="36" outlineLevel="1" x14ac:dyDescent="0.2">
      <c r="A27" s="17" t="s">
        <v>170</v>
      </c>
      <c r="B27" s="89">
        <v>43069</v>
      </c>
      <c r="C27" s="89">
        <v>43464</v>
      </c>
      <c r="D27" s="130">
        <v>50</v>
      </c>
      <c r="E27" s="14">
        <v>174478.68</v>
      </c>
      <c r="F27" s="14"/>
      <c r="G27" s="14">
        <f>2573.56+14581.75</f>
        <v>17155.310000000001</v>
      </c>
      <c r="H27" s="43">
        <f t="shared" si="0"/>
        <v>191633.99</v>
      </c>
      <c r="I27" s="43">
        <f t="shared" si="1"/>
        <v>191633.99</v>
      </c>
      <c r="J27" s="73"/>
      <c r="K27" s="65"/>
    </row>
    <row r="28" spans="1:11" ht="24" outlineLevel="1" x14ac:dyDescent="0.2">
      <c r="A28" s="17" t="s">
        <v>171</v>
      </c>
      <c r="B28" s="89">
        <v>43069</v>
      </c>
      <c r="C28" s="89">
        <v>43464</v>
      </c>
      <c r="D28" s="130">
        <v>50</v>
      </c>
      <c r="E28" s="14">
        <v>174478.69</v>
      </c>
      <c r="F28" s="14"/>
      <c r="G28" s="14">
        <f>2573.56+14273.29</f>
        <v>16846.850000000002</v>
      </c>
      <c r="H28" s="43">
        <f t="shared" si="0"/>
        <v>191325.54</v>
      </c>
      <c r="I28" s="43">
        <f t="shared" si="1"/>
        <v>191325.54</v>
      </c>
      <c r="J28" s="73"/>
      <c r="K28" s="65"/>
    </row>
    <row r="29" spans="1:11" outlineLevel="1" x14ac:dyDescent="0.2">
      <c r="A29" s="17" t="s">
        <v>172</v>
      </c>
      <c r="B29" s="89">
        <v>43069</v>
      </c>
      <c r="C29" s="89">
        <v>43464</v>
      </c>
      <c r="D29" s="130">
        <v>50</v>
      </c>
      <c r="E29" s="14">
        <v>174478.68</v>
      </c>
      <c r="F29" s="14"/>
      <c r="G29" s="14">
        <f>2573.56+14625.01</f>
        <v>17198.57</v>
      </c>
      <c r="H29" s="43">
        <f t="shared" si="0"/>
        <v>191677.25</v>
      </c>
      <c r="I29" s="43">
        <f t="shared" si="1"/>
        <v>191677.25</v>
      </c>
      <c r="J29" s="73"/>
      <c r="K29" s="65"/>
    </row>
    <row r="30" spans="1:11" outlineLevel="1" x14ac:dyDescent="0.2">
      <c r="A30" s="17" t="s">
        <v>173</v>
      </c>
      <c r="B30" s="89">
        <v>43069</v>
      </c>
      <c r="C30" s="89">
        <v>43464</v>
      </c>
      <c r="D30" s="130">
        <v>50</v>
      </c>
      <c r="E30" s="14">
        <v>174478.69</v>
      </c>
      <c r="F30" s="14"/>
      <c r="G30" s="14">
        <f>2573.56+14508.27</f>
        <v>17081.830000000002</v>
      </c>
      <c r="H30" s="43">
        <f t="shared" si="0"/>
        <v>191560.52000000002</v>
      </c>
      <c r="I30" s="43">
        <f t="shared" si="1"/>
        <v>191560.52000000002</v>
      </c>
      <c r="J30" s="73"/>
      <c r="K30" s="65"/>
    </row>
    <row r="31" spans="1:11" ht="12" customHeight="1" outlineLevel="1" x14ac:dyDescent="0.2">
      <c r="A31" s="17" t="s">
        <v>80</v>
      </c>
      <c r="B31" s="89">
        <v>42825</v>
      </c>
      <c r="C31" s="90">
        <v>43830</v>
      </c>
      <c r="D31" s="187">
        <v>50</v>
      </c>
      <c r="E31" s="14">
        <f>877255.86+4038899.1</f>
        <v>4916154.96</v>
      </c>
      <c r="F31" s="14">
        <v>17057.2</v>
      </c>
      <c r="G31" s="14">
        <v>71287</v>
      </c>
      <c r="H31" s="43">
        <f t="shared" si="0"/>
        <v>5004499.16</v>
      </c>
      <c r="I31" s="43">
        <f t="shared" si="1"/>
        <v>5004499.16</v>
      </c>
      <c r="J31" s="72"/>
      <c r="K31" s="14"/>
    </row>
    <row r="32" spans="1:11" ht="31.5" customHeight="1" outlineLevel="1" x14ac:dyDescent="0.2">
      <c r="A32" s="17" t="s">
        <v>1087</v>
      </c>
      <c r="B32" s="89">
        <v>43349</v>
      </c>
      <c r="C32" s="90">
        <v>43465</v>
      </c>
      <c r="D32" s="187">
        <v>20</v>
      </c>
      <c r="E32" s="14">
        <v>37338.980000000003</v>
      </c>
      <c r="F32" s="14"/>
      <c r="G32" s="14"/>
      <c r="H32" s="43">
        <f t="shared" si="0"/>
        <v>37338.980000000003</v>
      </c>
      <c r="I32" s="43">
        <f t="shared" si="1"/>
        <v>37338.980000000003</v>
      </c>
      <c r="J32" s="72"/>
      <c r="K32" s="14"/>
    </row>
    <row r="33" spans="1:11" ht="31.5" customHeight="1" outlineLevel="1" x14ac:dyDescent="0.2">
      <c r="A33" s="17" t="s">
        <v>1088</v>
      </c>
      <c r="B33" s="89">
        <v>43333</v>
      </c>
      <c r="C33" s="90">
        <v>43465</v>
      </c>
      <c r="D33" s="187">
        <v>20</v>
      </c>
      <c r="E33" s="14">
        <v>42488.49</v>
      </c>
      <c r="F33" s="14"/>
      <c r="G33" s="14"/>
      <c r="H33" s="43">
        <f t="shared" si="0"/>
        <v>42488.49</v>
      </c>
      <c r="I33" s="43">
        <f t="shared" si="1"/>
        <v>42488.49</v>
      </c>
      <c r="J33" s="72"/>
      <c r="K33" s="14"/>
    </row>
    <row r="34" spans="1:11" ht="31.5" customHeight="1" outlineLevel="1" x14ac:dyDescent="0.2">
      <c r="A34" s="17" t="s">
        <v>1089</v>
      </c>
      <c r="B34" s="89">
        <v>43333</v>
      </c>
      <c r="C34" s="90">
        <v>43465</v>
      </c>
      <c r="D34" s="187">
        <v>20</v>
      </c>
      <c r="E34" s="14">
        <v>15243.51</v>
      </c>
      <c r="F34" s="14"/>
      <c r="G34" s="14"/>
      <c r="H34" s="43">
        <f t="shared" si="0"/>
        <v>15243.51</v>
      </c>
      <c r="I34" s="43">
        <f t="shared" si="1"/>
        <v>15243.51</v>
      </c>
      <c r="J34" s="72"/>
      <c r="K34" s="14"/>
    </row>
    <row r="35" spans="1:11" ht="12" customHeight="1" outlineLevel="1" x14ac:dyDescent="0.2">
      <c r="A35" s="17" t="s">
        <v>48</v>
      </c>
      <c r="B35" s="89">
        <v>42475</v>
      </c>
      <c r="C35" s="90">
        <v>43556</v>
      </c>
      <c r="D35" s="187">
        <v>60</v>
      </c>
      <c r="E35" s="14">
        <f>116216.5+578783.5+1101368.11</f>
        <v>1796368.11</v>
      </c>
      <c r="F35" s="14">
        <f>773103.42</f>
        <v>773103.42</v>
      </c>
      <c r="G35" s="14">
        <f>5562.5+17000+19830.12+97063.2+97063.2</f>
        <v>236519.02000000002</v>
      </c>
      <c r="H35" s="43">
        <f t="shared" si="0"/>
        <v>2805990.5500000003</v>
      </c>
      <c r="I35" s="43">
        <f t="shared" si="1"/>
        <v>2805990.5500000003</v>
      </c>
      <c r="J35" s="72"/>
      <c r="K35" s="14"/>
    </row>
    <row r="36" spans="1:11" ht="29.25" customHeight="1" outlineLevel="1" x14ac:dyDescent="0.2">
      <c r="A36" s="17" t="s">
        <v>624</v>
      </c>
      <c r="B36" s="89">
        <v>43280</v>
      </c>
      <c r="C36" s="90">
        <v>43465</v>
      </c>
      <c r="D36" s="187">
        <v>40</v>
      </c>
      <c r="E36" s="14">
        <v>78357</v>
      </c>
      <c r="F36" s="14"/>
      <c r="G36" s="14">
        <f>907.7</f>
        <v>907.7</v>
      </c>
      <c r="H36" s="43">
        <f t="shared" si="0"/>
        <v>79264.7</v>
      </c>
      <c r="I36" s="43">
        <f t="shared" si="1"/>
        <v>79264.7</v>
      </c>
      <c r="J36" s="72"/>
      <c r="K36" s="14"/>
    </row>
    <row r="37" spans="1:11" ht="12" customHeight="1" outlineLevel="1" x14ac:dyDescent="0.2">
      <c r="A37" s="17" t="s">
        <v>625</v>
      </c>
      <c r="B37" s="89">
        <v>43280</v>
      </c>
      <c r="C37" s="90">
        <v>43465</v>
      </c>
      <c r="D37" s="187">
        <v>40</v>
      </c>
      <c r="E37" s="14">
        <v>78357</v>
      </c>
      <c r="F37" s="14"/>
      <c r="G37" s="14">
        <f>907.7</f>
        <v>907.7</v>
      </c>
      <c r="H37" s="43">
        <f t="shared" si="0"/>
        <v>79264.7</v>
      </c>
      <c r="I37" s="43">
        <f t="shared" si="1"/>
        <v>79264.7</v>
      </c>
      <c r="J37" s="72"/>
      <c r="K37" s="14"/>
    </row>
    <row r="38" spans="1:11" ht="12" customHeight="1" outlineLevel="1" x14ac:dyDescent="0.2">
      <c r="A38" s="17" t="s">
        <v>626</v>
      </c>
      <c r="B38" s="89">
        <v>43280</v>
      </c>
      <c r="C38" s="90">
        <v>43465</v>
      </c>
      <c r="D38" s="187">
        <v>40</v>
      </c>
      <c r="E38" s="14">
        <v>78357</v>
      </c>
      <c r="F38" s="14"/>
      <c r="G38" s="14">
        <f>907.7</f>
        <v>907.7</v>
      </c>
      <c r="H38" s="43">
        <f t="shared" si="0"/>
        <v>79264.7</v>
      </c>
      <c r="I38" s="43">
        <f t="shared" si="1"/>
        <v>79264.7</v>
      </c>
      <c r="J38" s="72"/>
      <c r="K38" s="14"/>
    </row>
    <row r="39" spans="1:11" ht="12" customHeight="1" outlineLevel="1" x14ac:dyDescent="0.2">
      <c r="A39" s="17" t="s">
        <v>627</v>
      </c>
      <c r="B39" s="89">
        <v>43280</v>
      </c>
      <c r="C39" s="90">
        <v>43465</v>
      </c>
      <c r="D39" s="187">
        <v>40</v>
      </c>
      <c r="E39" s="14">
        <v>55070.400000000001</v>
      </c>
      <c r="F39" s="14"/>
      <c r="G39" s="14">
        <f>907.7</f>
        <v>907.7</v>
      </c>
      <c r="H39" s="43">
        <f t="shared" si="0"/>
        <v>55978.1</v>
      </c>
      <c r="I39" s="43">
        <f t="shared" si="1"/>
        <v>55978.1</v>
      </c>
      <c r="J39" s="72"/>
      <c r="K39" s="14"/>
    </row>
    <row r="40" spans="1:11" ht="12" customHeight="1" outlineLevel="1" x14ac:dyDescent="0.2">
      <c r="A40" s="17" t="s">
        <v>628</v>
      </c>
      <c r="B40" s="89">
        <v>43280</v>
      </c>
      <c r="C40" s="90">
        <v>43465</v>
      </c>
      <c r="D40" s="187">
        <v>40</v>
      </c>
      <c r="E40" s="14">
        <v>78357</v>
      </c>
      <c r="F40" s="14"/>
      <c r="G40" s="14">
        <v>907.7</v>
      </c>
      <c r="H40" s="43">
        <f t="shared" si="0"/>
        <v>79264.7</v>
      </c>
      <c r="I40" s="43">
        <f t="shared" si="1"/>
        <v>79264.7</v>
      </c>
      <c r="J40" s="72"/>
      <c r="K40" s="14"/>
    </row>
    <row r="41" spans="1:11" ht="42" customHeight="1" outlineLevel="1" x14ac:dyDescent="0.2">
      <c r="A41" s="17" t="s">
        <v>629</v>
      </c>
      <c r="B41" s="89">
        <v>43280</v>
      </c>
      <c r="C41" s="90">
        <v>43465</v>
      </c>
      <c r="D41" s="187">
        <v>40</v>
      </c>
      <c r="E41" s="14">
        <v>78357</v>
      </c>
      <c r="F41" s="14"/>
      <c r="G41" s="14">
        <v>907.7</v>
      </c>
      <c r="H41" s="43">
        <f t="shared" si="0"/>
        <v>79264.7</v>
      </c>
      <c r="I41" s="43">
        <f t="shared" si="1"/>
        <v>79264.7</v>
      </c>
      <c r="J41" s="72"/>
      <c r="K41" s="14"/>
    </row>
    <row r="42" spans="1:11" ht="27" customHeight="1" outlineLevel="1" x14ac:dyDescent="0.2">
      <c r="A42" s="17" t="s">
        <v>630</v>
      </c>
      <c r="B42" s="89">
        <v>43280</v>
      </c>
      <c r="C42" s="90">
        <v>43465</v>
      </c>
      <c r="D42" s="187">
        <v>40</v>
      </c>
      <c r="E42" s="14">
        <v>78357</v>
      </c>
      <c r="F42" s="14"/>
      <c r="G42" s="14">
        <v>907.7</v>
      </c>
      <c r="H42" s="43">
        <f t="shared" si="0"/>
        <v>79264.7</v>
      </c>
      <c r="I42" s="43">
        <f t="shared" si="1"/>
        <v>79264.7</v>
      </c>
      <c r="J42" s="72"/>
      <c r="K42" s="14"/>
    </row>
    <row r="43" spans="1:11" ht="24" customHeight="1" outlineLevel="1" x14ac:dyDescent="0.2">
      <c r="A43" s="17" t="s">
        <v>631</v>
      </c>
      <c r="B43" s="89">
        <v>43280</v>
      </c>
      <c r="C43" s="90">
        <v>43465</v>
      </c>
      <c r="D43" s="187">
        <v>40</v>
      </c>
      <c r="E43" s="14">
        <v>55070.400000000001</v>
      </c>
      <c r="F43" s="14"/>
      <c r="G43" s="14">
        <v>907.7</v>
      </c>
      <c r="H43" s="43">
        <f t="shared" si="0"/>
        <v>55978.1</v>
      </c>
      <c r="I43" s="43">
        <f t="shared" si="1"/>
        <v>55978.1</v>
      </c>
      <c r="J43" s="72"/>
      <c r="K43" s="14"/>
    </row>
    <row r="44" spans="1:11" ht="25.5" customHeight="1" outlineLevel="1" x14ac:dyDescent="0.2">
      <c r="A44" s="17" t="s">
        <v>632</v>
      </c>
      <c r="B44" s="89">
        <v>43280</v>
      </c>
      <c r="C44" s="90">
        <v>43465</v>
      </c>
      <c r="D44" s="187">
        <v>40</v>
      </c>
      <c r="E44" s="14">
        <v>55070.400000000001</v>
      </c>
      <c r="F44" s="14"/>
      <c r="G44" s="14">
        <v>907.7</v>
      </c>
      <c r="H44" s="43">
        <f t="shared" si="0"/>
        <v>55978.1</v>
      </c>
      <c r="I44" s="43">
        <f t="shared" si="1"/>
        <v>55978.1</v>
      </c>
      <c r="J44" s="72"/>
      <c r="K44" s="14"/>
    </row>
    <row r="45" spans="1:11" ht="27.75" customHeight="1" outlineLevel="1" x14ac:dyDescent="0.2">
      <c r="A45" s="17" t="s">
        <v>633</v>
      </c>
      <c r="B45" s="89">
        <v>43280</v>
      </c>
      <c r="C45" s="90">
        <v>43465</v>
      </c>
      <c r="D45" s="187">
        <v>40</v>
      </c>
      <c r="E45" s="14">
        <v>78357</v>
      </c>
      <c r="F45" s="14"/>
      <c r="G45" s="14">
        <v>907.69</v>
      </c>
      <c r="H45" s="43">
        <f t="shared" si="0"/>
        <v>79264.69</v>
      </c>
      <c r="I45" s="43">
        <f t="shared" si="1"/>
        <v>79264.69</v>
      </c>
      <c r="J45" s="72"/>
      <c r="K45" s="14"/>
    </row>
    <row r="46" spans="1:11" ht="27.75" customHeight="1" outlineLevel="1" x14ac:dyDescent="0.2">
      <c r="A46" s="17" t="s">
        <v>634</v>
      </c>
      <c r="B46" s="89">
        <v>43280</v>
      </c>
      <c r="C46" s="90">
        <v>43465</v>
      </c>
      <c r="D46" s="187">
        <v>40</v>
      </c>
      <c r="E46" s="14">
        <v>78357</v>
      </c>
      <c r="F46" s="14"/>
      <c r="G46" s="14">
        <v>907.69</v>
      </c>
      <c r="H46" s="43">
        <f t="shared" si="0"/>
        <v>79264.69</v>
      </c>
      <c r="I46" s="43">
        <f t="shared" si="1"/>
        <v>79264.69</v>
      </c>
      <c r="J46" s="72"/>
      <c r="K46" s="14"/>
    </row>
    <row r="47" spans="1:11" ht="27.75" customHeight="1" outlineLevel="1" x14ac:dyDescent="0.2">
      <c r="A47" s="17" t="s">
        <v>635</v>
      </c>
      <c r="B47" s="89">
        <v>43280</v>
      </c>
      <c r="C47" s="90">
        <v>43465</v>
      </c>
      <c r="D47" s="187">
        <v>40</v>
      </c>
      <c r="E47" s="14">
        <v>78357</v>
      </c>
      <c r="F47" s="14"/>
      <c r="G47" s="14">
        <v>907.7</v>
      </c>
      <c r="H47" s="43">
        <f t="shared" si="0"/>
        <v>79264.7</v>
      </c>
      <c r="I47" s="43">
        <f t="shared" si="1"/>
        <v>79264.7</v>
      </c>
      <c r="J47" s="72"/>
      <c r="K47" s="14"/>
    </row>
    <row r="48" spans="1:11" ht="27.75" customHeight="1" outlineLevel="1" x14ac:dyDescent="0.2">
      <c r="A48" s="17" t="s">
        <v>636</v>
      </c>
      <c r="B48" s="89">
        <v>43280</v>
      </c>
      <c r="C48" s="90">
        <v>43465</v>
      </c>
      <c r="D48" s="187">
        <v>40</v>
      </c>
      <c r="E48" s="14">
        <v>55070.400000000001</v>
      </c>
      <c r="F48" s="14"/>
      <c r="G48" s="14">
        <v>907.7</v>
      </c>
      <c r="H48" s="43">
        <f t="shared" si="0"/>
        <v>55978.1</v>
      </c>
      <c r="I48" s="43">
        <f t="shared" si="1"/>
        <v>55978.1</v>
      </c>
      <c r="J48" s="72"/>
      <c r="K48" s="14"/>
    </row>
    <row r="49" spans="1:11" ht="27.75" customHeight="1" outlineLevel="1" x14ac:dyDescent="0.2">
      <c r="A49" s="17" t="s">
        <v>637</v>
      </c>
      <c r="B49" s="89">
        <v>43280</v>
      </c>
      <c r="C49" s="90">
        <v>43465</v>
      </c>
      <c r="D49" s="187">
        <v>40</v>
      </c>
      <c r="E49" s="14">
        <v>55070.400000000001</v>
      </c>
      <c r="F49" s="14"/>
      <c r="G49" s="14">
        <v>907.7</v>
      </c>
      <c r="H49" s="43">
        <f t="shared" si="0"/>
        <v>55978.1</v>
      </c>
      <c r="I49" s="43">
        <f t="shared" si="1"/>
        <v>55978.1</v>
      </c>
      <c r="J49" s="72"/>
      <c r="K49" s="14"/>
    </row>
    <row r="50" spans="1:11" ht="27.75" customHeight="1" outlineLevel="1" x14ac:dyDescent="0.2">
      <c r="A50" s="17" t="s">
        <v>638</v>
      </c>
      <c r="B50" s="89">
        <v>43280</v>
      </c>
      <c r="C50" s="90">
        <v>43465</v>
      </c>
      <c r="D50" s="187">
        <v>40</v>
      </c>
      <c r="E50" s="14">
        <v>55070.400000000001</v>
      </c>
      <c r="F50" s="14"/>
      <c r="G50" s="14">
        <v>907.7</v>
      </c>
      <c r="H50" s="43">
        <f t="shared" si="0"/>
        <v>55978.1</v>
      </c>
      <c r="I50" s="43">
        <f t="shared" si="1"/>
        <v>55978.1</v>
      </c>
      <c r="J50" s="72"/>
      <c r="K50" s="14"/>
    </row>
    <row r="51" spans="1:11" ht="27.75" customHeight="1" outlineLevel="1" x14ac:dyDescent="0.2">
      <c r="A51" s="17" t="s">
        <v>639</v>
      </c>
      <c r="B51" s="89">
        <v>43280</v>
      </c>
      <c r="C51" s="90">
        <v>43465</v>
      </c>
      <c r="D51" s="187">
        <v>40</v>
      </c>
      <c r="E51" s="14">
        <v>55070.400000000001</v>
      </c>
      <c r="F51" s="14"/>
      <c r="G51" s="14">
        <v>907.7</v>
      </c>
      <c r="H51" s="43">
        <f t="shared" si="0"/>
        <v>55978.1</v>
      </c>
      <c r="I51" s="43">
        <f t="shared" si="1"/>
        <v>55978.1</v>
      </c>
      <c r="J51" s="72"/>
      <c r="K51" s="14"/>
    </row>
    <row r="52" spans="1:11" ht="27.75" customHeight="1" outlineLevel="1" x14ac:dyDescent="0.2">
      <c r="A52" s="17" t="s">
        <v>640</v>
      </c>
      <c r="B52" s="89">
        <v>43280</v>
      </c>
      <c r="C52" s="90">
        <v>43465</v>
      </c>
      <c r="D52" s="187">
        <v>40</v>
      </c>
      <c r="E52" s="14">
        <v>55070.400000000001</v>
      </c>
      <c r="F52" s="14"/>
      <c r="G52" s="14">
        <v>907.7</v>
      </c>
      <c r="H52" s="43">
        <f t="shared" si="0"/>
        <v>55978.1</v>
      </c>
      <c r="I52" s="43">
        <f t="shared" si="1"/>
        <v>55978.1</v>
      </c>
      <c r="J52" s="72"/>
      <c r="K52" s="14"/>
    </row>
    <row r="53" spans="1:11" ht="27.75" customHeight="1" outlineLevel="1" x14ac:dyDescent="0.2">
      <c r="A53" s="17" t="s">
        <v>641</v>
      </c>
      <c r="B53" s="89">
        <v>43280</v>
      </c>
      <c r="C53" s="90">
        <v>43465</v>
      </c>
      <c r="D53" s="187">
        <v>40</v>
      </c>
      <c r="E53" s="14">
        <v>55070.400000000001</v>
      </c>
      <c r="F53" s="14"/>
      <c r="G53" s="14">
        <v>907.7</v>
      </c>
      <c r="H53" s="43">
        <f t="shared" si="0"/>
        <v>55978.1</v>
      </c>
      <c r="I53" s="43">
        <f t="shared" si="1"/>
        <v>55978.1</v>
      </c>
      <c r="J53" s="72"/>
      <c r="K53" s="14"/>
    </row>
    <row r="54" spans="1:11" ht="27.75" customHeight="1" outlineLevel="1" x14ac:dyDescent="0.2">
      <c r="A54" s="17" t="s">
        <v>642</v>
      </c>
      <c r="B54" s="89">
        <v>43280</v>
      </c>
      <c r="C54" s="90">
        <v>43465</v>
      </c>
      <c r="D54" s="187">
        <v>40</v>
      </c>
      <c r="E54" s="14">
        <v>55070.400000000001</v>
      </c>
      <c r="F54" s="14"/>
      <c r="G54" s="14">
        <v>907.7</v>
      </c>
      <c r="H54" s="43">
        <f t="shared" si="0"/>
        <v>55978.1</v>
      </c>
      <c r="I54" s="43">
        <f t="shared" si="1"/>
        <v>55978.1</v>
      </c>
      <c r="J54" s="72"/>
      <c r="K54" s="14"/>
    </row>
    <row r="55" spans="1:11" ht="27.75" customHeight="1" outlineLevel="1" x14ac:dyDescent="0.2">
      <c r="A55" s="17" t="s">
        <v>643</v>
      </c>
      <c r="B55" s="89">
        <v>43280</v>
      </c>
      <c r="C55" s="90">
        <v>43465</v>
      </c>
      <c r="D55" s="187">
        <v>40</v>
      </c>
      <c r="E55" s="14">
        <v>78357</v>
      </c>
      <c r="F55" s="14"/>
      <c r="G55" s="14">
        <v>907.7</v>
      </c>
      <c r="H55" s="43">
        <f t="shared" si="0"/>
        <v>79264.7</v>
      </c>
      <c r="I55" s="43">
        <f t="shared" si="1"/>
        <v>79264.7</v>
      </c>
      <c r="J55" s="72"/>
      <c r="K55" s="14"/>
    </row>
    <row r="56" spans="1:11" ht="27.75" customHeight="1" outlineLevel="1" x14ac:dyDescent="0.2">
      <c r="A56" s="17" t="s">
        <v>644</v>
      </c>
      <c r="B56" s="89">
        <v>43280</v>
      </c>
      <c r="C56" s="90">
        <v>43465</v>
      </c>
      <c r="D56" s="187">
        <v>40</v>
      </c>
      <c r="E56" s="14">
        <v>78357</v>
      </c>
      <c r="F56" s="14"/>
      <c r="G56" s="14">
        <v>907.7</v>
      </c>
      <c r="H56" s="43">
        <f t="shared" si="0"/>
        <v>79264.7</v>
      </c>
      <c r="I56" s="43">
        <f t="shared" si="1"/>
        <v>79264.7</v>
      </c>
      <c r="J56" s="72"/>
      <c r="K56" s="14"/>
    </row>
    <row r="57" spans="1:11" ht="27.75" customHeight="1" outlineLevel="1" x14ac:dyDescent="0.2">
      <c r="A57" s="17" t="s">
        <v>645</v>
      </c>
      <c r="B57" s="89">
        <v>43280</v>
      </c>
      <c r="C57" s="90">
        <v>43465</v>
      </c>
      <c r="D57" s="187">
        <v>40</v>
      </c>
      <c r="E57" s="14">
        <v>55070.400000000001</v>
      </c>
      <c r="F57" s="14"/>
      <c r="G57" s="14">
        <v>907.7</v>
      </c>
      <c r="H57" s="43">
        <f t="shared" si="0"/>
        <v>55978.1</v>
      </c>
      <c r="I57" s="43">
        <f t="shared" si="1"/>
        <v>55978.1</v>
      </c>
      <c r="J57" s="72"/>
      <c r="K57" s="14"/>
    </row>
    <row r="58" spans="1:11" ht="36" customHeight="1" outlineLevel="1" x14ac:dyDescent="0.2">
      <c r="A58" s="17" t="s">
        <v>646</v>
      </c>
      <c r="B58" s="89">
        <v>43280</v>
      </c>
      <c r="C58" s="90">
        <v>43465</v>
      </c>
      <c r="D58" s="187">
        <v>40</v>
      </c>
      <c r="E58" s="14">
        <v>55070.400000000001</v>
      </c>
      <c r="F58" s="14"/>
      <c r="G58" s="14">
        <v>907.7</v>
      </c>
      <c r="H58" s="43">
        <f t="shared" si="0"/>
        <v>55978.1</v>
      </c>
      <c r="I58" s="43">
        <f t="shared" si="1"/>
        <v>55978.1</v>
      </c>
      <c r="J58" s="72"/>
      <c r="K58" s="14"/>
    </row>
    <row r="59" spans="1:11" ht="27.75" customHeight="1" outlineLevel="1" x14ac:dyDescent="0.2">
      <c r="A59" s="17" t="s">
        <v>647</v>
      </c>
      <c r="B59" s="89">
        <v>43280</v>
      </c>
      <c r="C59" s="90">
        <v>43465</v>
      </c>
      <c r="D59" s="187">
        <v>40</v>
      </c>
      <c r="E59" s="14">
        <v>78357</v>
      </c>
      <c r="F59" s="14"/>
      <c r="G59" s="14">
        <v>907.7</v>
      </c>
      <c r="H59" s="43">
        <f t="shared" si="0"/>
        <v>79264.7</v>
      </c>
      <c r="I59" s="43">
        <f t="shared" si="1"/>
        <v>79264.7</v>
      </c>
      <c r="J59" s="72"/>
      <c r="K59" s="14"/>
    </row>
    <row r="60" spans="1:11" ht="27.75" customHeight="1" outlineLevel="1" x14ac:dyDescent="0.2">
      <c r="A60" s="17" t="s">
        <v>648</v>
      </c>
      <c r="B60" s="89">
        <v>43280</v>
      </c>
      <c r="C60" s="90">
        <v>43465</v>
      </c>
      <c r="D60" s="187">
        <v>40</v>
      </c>
      <c r="E60" s="14">
        <v>55070.400000000001</v>
      </c>
      <c r="F60" s="14"/>
      <c r="G60" s="14">
        <v>907.7</v>
      </c>
      <c r="H60" s="43">
        <f t="shared" si="0"/>
        <v>55978.1</v>
      </c>
      <c r="I60" s="43">
        <f t="shared" si="1"/>
        <v>55978.1</v>
      </c>
      <c r="J60" s="72"/>
      <c r="K60" s="14"/>
    </row>
    <row r="61" spans="1:11" ht="27.75" customHeight="1" outlineLevel="1" x14ac:dyDescent="0.2">
      <c r="A61" s="17" t="s">
        <v>649</v>
      </c>
      <c r="B61" s="89">
        <v>43280</v>
      </c>
      <c r="C61" s="90">
        <v>43465</v>
      </c>
      <c r="D61" s="187">
        <v>40</v>
      </c>
      <c r="E61" s="14">
        <v>55070.400000000001</v>
      </c>
      <c r="F61" s="14"/>
      <c r="G61" s="14">
        <v>907.7</v>
      </c>
      <c r="H61" s="43">
        <f t="shared" si="0"/>
        <v>55978.1</v>
      </c>
      <c r="I61" s="43">
        <f t="shared" si="1"/>
        <v>55978.1</v>
      </c>
      <c r="J61" s="72"/>
      <c r="K61" s="14"/>
    </row>
    <row r="62" spans="1:11" ht="27.75" customHeight="1" outlineLevel="1" x14ac:dyDescent="0.2">
      <c r="A62" s="17" t="s">
        <v>650</v>
      </c>
      <c r="B62" s="89">
        <v>43280</v>
      </c>
      <c r="C62" s="90">
        <v>43465</v>
      </c>
      <c r="D62" s="187">
        <v>40</v>
      </c>
      <c r="E62" s="14">
        <v>55070.400000000001</v>
      </c>
      <c r="F62" s="14"/>
      <c r="G62" s="14">
        <v>907.7</v>
      </c>
      <c r="H62" s="43">
        <f t="shared" si="0"/>
        <v>55978.1</v>
      </c>
      <c r="I62" s="43">
        <f t="shared" si="1"/>
        <v>55978.1</v>
      </c>
      <c r="J62" s="72"/>
      <c r="K62" s="14"/>
    </row>
    <row r="63" spans="1:11" ht="27.75" customHeight="1" outlineLevel="1" x14ac:dyDescent="0.2">
      <c r="A63" s="17" t="s">
        <v>651</v>
      </c>
      <c r="B63" s="89">
        <v>43280</v>
      </c>
      <c r="C63" s="90">
        <v>43465</v>
      </c>
      <c r="D63" s="187">
        <v>40</v>
      </c>
      <c r="E63" s="14">
        <v>55070.400000000001</v>
      </c>
      <c r="F63" s="14"/>
      <c r="G63" s="14">
        <v>907.7</v>
      </c>
      <c r="H63" s="43">
        <f t="shared" si="0"/>
        <v>55978.1</v>
      </c>
      <c r="I63" s="43">
        <f t="shared" si="1"/>
        <v>55978.1</v>
      </c>
      <c r="J63" s="72"/>
      <c r="K63" s="14"/>
    </row>
    <row r="64" spans="1:11" ht="27.75" customHeight="1" outlineLevel="1" x14ac:dyDescent="0.2">
      <c r="A64" s="17" t="s">
        <v>652</v>
      </c>
      <c r="B64" s="89">
        <v>43280</v>
      </c>
      <c r="C64" s="90">
        <v>43465</v>
      </c>
      <c r="D64" s="187">
        <v>40</v>
      </c>
      <c r="E64" s="14">
        <v>55070.400000000001</v>
      </c>
      <c r="F64" s="14"/>
      <c r="G64" s="14">
        <v>907.7</v>
      </c>
      <c r="H64" s="43">
        <f t="shared" si="0"/>
        <v>55978.1</v>
      </c>
      <c r="I64" s="43">
        <f t="shared" si="1"/>
        <v>55978.1</v>
      </c>
      <c r="J64" s="72"/>
      <c r="K64" s="14"/>
    </row>
    <row r="65" spans="1:11" ht="27.75" customHeight="1" outlineLevel="1" x14ac:dyDescent="0.2">
      <c r="A65" s="17" t="s">
        <v>653</v>
      </c>
      <c r="B65" s="89">
        <v>43280</v>
      </c>
      <c r="C65" s="90">
        <v>43465</v>
      </c>
      <c r="D65" s="187">
        <v>40</v>
      </c>
      <c r="E65" s="14">
        <v>78357</v>
      </c>
      <c r="F65" s="14"/>
      <c r="G65" s="14">
        <v>907.7</v>
      </c>
      <c r="H65" s="43">
        <f t="shared" si="0"/>
        <v>79264.7</v>
      </c>
      <c r="I65" s="43">
        <f t="shared" si="1"/>
        <v>79264.7</v>
      </c>
      <c r="J65" s="72"/>
      <c r="K65" s="14"/>
    </row>
    <row r="66" spans="1:11" ht="27.75" customHeight="1" outlineLevel="1" x14ac:dyDescent="0.2">
      <c r="A66" s="17" t="s">
        <v>654</v>
      </c>
      <c r="B66" s="89">
        <v>43280</v>
      </c>
      <c r="C66" s="90">
        <v>43465</v>
      </c>
      <c r="D66" s="187">
        <v>40</v>
      </c>
      <c r="E66" s="14">
        <v>55070.400000000001</v>
      </c>
      <c r="F66" s="14"/>
      <c r="G66" s="14">
        <v>907.7</v>
      </c>
      <c r="H66" s="43">
        <f t="shared" si="0"/>
        <v>55978.1</v>
      </c>
      <c r="I66" s="43">
        <f t="shared" si="1"/>
        <v>55978.1</v>
      </c>
      <c r="J66" s="72"/>
      <c r="K66" s="14"/>
    </row>
    <row r="67" spans="1:11" ht="27.75" customHeight="1" outlineLevel="1" x14ac:dyDescent="0.2">
      <c r="A67" s="17" t="s">
        <v>655</v>
      </c>
      <c r="B67" s="89">
        <v>43280</v>
      </c>
      <c r="C67" s="90">
        <v>43465</v>
      </c>
      <c r="D67" s="187">
        <v>40</v>
      </c>
      <c r="E67" s="14">
        <v>55070.400000000001</v>
      </c>
      <c r="F67" s="14"/>
      <c r="G67" s="14">
        <v>907.7</v>
      </c>
      <c r="H67" s="43">
        <f t="shared" si="0"/>
        <v>55978.1</v>
      </c>
      <c r="I67" s="43">
        <f t="shared" si="1"/>
        <v>55978.1</v>
      </c>
      <c r="J67" s="72"/>
      <c r="K67" s="14"/>
    </row>
    <row r="68" spans="1:11" ht="27.75" customHeight="1" outlineLevel="1" x14ac:dyDescent="0.2">
      <c r="A68" s="17" t="s">
        <v>656</v>
      </c>
      <c r="B68" s="89">
        <v>43280</v>
      </c>
      <c r="C68" s="90">
        <v>43465</v>
      </c>
      <c r="D68" s="187">
        <v>40</v>
      </c>
      <c r="E68" s="14">
        <v>55070.400000000001</v>
      </c>
      <c r="F68" s="14"/>
      <c r="G68" s="14">
        <v>907.7</v>
      </c>
      <c r="H68" s="43">
        <f t="shared" si="0"/>
        <v>55978.1</v>
      </c>
      <c r="I68" s="43">
        <f t="shared" si="1"/>
        <v>55978.1</v>
      </c>
      <c r="J68" s="72"/>
      <c r="K68" s="14"/>
    </row>
    <row r="69" spans="1:11" ht="27.75" customHeight="1" outlineLevel="1" x14ac:dyDescent="0.2">
      <c r="A69" s="17" t="s">
        <v>657</v>
      </c>
      <c r="B69" s="89">
        <v>43280</v>
      </c>
      <c r="C69" s="90">
        <v>43465</v>
      </c>
      <c r="D69" s="187">
        <v>40</v>
      </c>
      <c r="E69" s="14">
        <v>55070.400000000001</v>
      </c>
      <c r="F69" s="14"/>
      <c r="G69" s="14">
        <v>907.7</v>
      </c>
      <c r="H69" s="43">
        <f t="shared" si="0"/>
        <v>55978.1</v>
      </c>
      <c r="I69" s="43">
        <f t="shared" si="1"/>
        <v>55978.1</v>
      </c>
      <c r="J69" s="72"/>
      <c r="K69" s="14"/>
    </row>
    <row r="70" spans="1:11" ht="27.75" customHeight="1" outlineLevel="1" x14ac:dyDescent="0.2">
      <c r="A70" s="17" t="s">
        <v>658</v>
      </c>
      <c r="B70" s="89">
        <v>43280</v>
      </c>
      <c r="C70" s="90">
        <v>43465</v>
      </c>
      <c r="D70" s="187">
        <v>40</v>
      </c>
      <c r="E70" s="14">
        <v>55070.400000000001</v>
      </c>
      <c r="F70" s="14"/>
      <c r="G70" s="14">
        <v>907.7</v>
      </c>
      <c r="H70" s="43">
        <f t="shared" si="0"/>
        <v>55978.1</v>
      </c>
      <c r="I70" s="43">
        <f t="shared" si="1"/>
        <v>55978.1</v>
      </c>
      <c r="J70" s="72"/>
      <c r="K70" s="14"/>
    </row>
    <row r="71" spans="1:11" ht="27.75" customHeight="1" outlineLevel="1" x14ac:dyDescent="0.2">
      <c r="A71" s="17" t="s">
        <v>659</v>
      </c>
      <c r="B71" s="89">
        <v>43280</v>
      </c>
      <c r="C71" s="90">
        <v>43465</v>
      </c>
      <c r="D71" s="187">
        <v>40</v>
      </c>
      <c r="E71" s="14">
        <v>55070.400000000001</v>
      </c>
      <c r="F71" s="14"/>
      <c r="G71" s="14">
        <v>907.7</v>
      </c>
      <c r="H71" s="43">
        <f t="shared" si="0"/>
        <v>55978.1</v>
      </c>
      <c r="I71" s="43">
        <f t="shared" si="1"/>
        <v>55978.1</v>
      </c>
      <c r="J71" s="72"/>
      <c r="K71" s="14"/>
    </row>
    <row r="72" spans="1:11" ht="27.75" customHeight="1" outlineLevel="1" x14ac:dyDescent="0.2">
      <c r="A72" s="17" t="s">
        <v>660</v>
      </c>
      <c r="B72" s="89">
        <v>43280</v>
      </c>
      <c r="C72" s="90">
        <v>43465</v>
      </c>
      <c r="D72" s="187">
        <v>40</v>
      </c>
      <c r="E72" s="14">
        <v>135117</v>
      </c>
      <c r="F72" s="14"/>
      <c r="G72" s="14">
        <v>1992.98</v>
      </c>
      <c r="H72" s="43">
        <f t="shared" si="0"/>
        <v>137109.98000000001</v>
      </c>
      <c r="I72" s="43">
        <f t="shared" si="1"/>
        <v>137109.98000000001</v>
      </c>
      <c r="J72" s="72"/>
      <c r="K72" s="14"/>
    </row>
    <row r="73" spans="1:11" ht="27.75" customHeight="1" outlineLevel="1" x14ac:dyDescent="0.2">
      <c r="A73" s="17" t="s">
        <v>661</v>
      </c>
      <c r="B73" s="89">
        <v>43280</v>
      </c>
      <c r="C73" s="90">
        <v>43465</v>
      </c>
      <c r="D73" s="187">
        <v>40</v>
      </c>
      <c r="E73" s="14">
        <v>135117</v>
      </c>
      <c r="F73" s="14"/>
      <c r="G73" s="14">
        <v>1992.98</v>
      </c>
      <c r="H73" s="43">
        <f t="shared" si="0"/>
        <v>137109.98000000001</v>
      </c>
      <c r="I73" s="43">
        <f t="shared" si="1"/>
        <v>137109.98000000001</v>
      </c>
      <c r="J73" s="72"/>
      <c r="K73" s="14"/>
    </row>
    <row r="74" spans="1:11" ht="27.75" customHeight="1" outlineLevel="1" x14ac:dyDescent="0.2">
      <c r="A74" s="17" t="s">
        <v>662</v>
      </c>
      <c r="B74" s="89">
        <v>43280</v>
      </c>
      <c r="C74" s="90">
        <v>43465</v>
      </c>
      <c r="D74" s="187">
        <v>40</v>
      </c>
      <c r="E74" s="14">
        <v>135117</v>
      </c>
      <c r="F74" s="14"/>
      <c r="G74" s="14">
        <v>1992.98</v>
      </c>
      <c r="H74" s="43">
        <f t="shared" si="0"/>
        <v>137109.98000000001</v>
      </c>
      <c r="I74" s="43">
        <f t="shared" si="1"/>
        <v>137109.98000000001</v>
      </c>
      <c r="J74" s="72"/>
      <c r="K74" s="14"/>
    </row>
    <row r="75" spans="1:11" ht="27.75" customHeight="1" outlineLevel="1" x14ac:dyDescent="0.2">
      <c r="A75" s="17" t="s">
        <v>663</v>
      </c>
      <c r="B75" s="89">
        <v>43280</v>
      </c>
      <c r="C75" s="90">
        <v>43465</v>
      </c>
      <c r="D75" s="187">
        <v>40</v>
      </c>
      <c r="E75" s="14">
        <v>55070.400000000001</v>
      </c>
      <c r="F75" s="14"/>
      <c r="G75" s="14">
        <v>907.7</v>
      </c>
      <c r="H75" s="43">
        <f t="shared" ref="H75:H138" si="2">F75+E75+G75</f>
        <v>55978.1</v>
      </c>
      <c r="I75" s="43">
        <f t="shared" si="1"/>
        <v>55978.1</v>
      </c>
      <c r="J75" s="72"/>
      <c r="K75" s="14"/>
    </row>
    <row r="76" spans="1:11" ht="27.75" customHeight="1" outlineLevel="1" x14ac:dyDescent="0.2">
      <c r="A76" s="17" t="s">
        <v>664</v>
      </c>
      <c r="B76" s="89">
        <v>43280</v>
      </c>
      <c r="C76" s="90">
        <v>43465</v>
      </c>
      <c r="D76" s="187">
        <v>40</v>
      </c>
      <c r="E76" s="14">
        <v>78357</v>
      </c>
      <c r="F76" s="14"/>
      <c r="G76" s="14">
        <v>907.7</v>
      </c>
      <c r="H76" s="43">
        <f t="shared" si="2"/>
        <v>79264.7</v>
      </c>
      <c r="I76" s="43">
        <f t="shared" si="1"/>
        <v>79264.7</v>
      </c>
      <c r="J76" s="72"/>
      <c r="K76" s="14"/>
    </row>
    <row r="77" spans="1:11" ht="27.75" customHeight="1" outlineLevel="1" x14ac:dyDescent="0.2">
      <c r="A77" s="17" t="s">
        <v>665</v>
      </c>
      <c r="B77" s="89">
        <v>43280</v>
      </c>
      <c r="C77" s="90">
        <v>43465</v>
      </c>
      <c r="D77" s="187">
        <v>40</v>
      </c>
      <c r="E77" s="14">
        <v>78357</v>
      </c>
      <c r="F77" s="14"/>
      <c r="G77" s="14">
        <v>907.7</v>
      </c>
      <c r="H77" s="43">
        <f t="shared" si="2"/>
        <v>79264.7</v>
      </c>
      <c r="I77" s="43">
        <f t="shared" si="1"/>
        <v>79264.7</v>
      </c>
      <c r="J77" s="72"/>
      <c r="K77" s="14"/>
    </row>
    <row r="78" spans="1:11" ht="27.75" customHeight="1" outlineLevel="1" x14ac:dyDescent="0.2">
      <c r="A78" s="17" t="s">
        <v>666</v>
      </c>
      <c r="B78" s="89">
        <v>43280</v>
      </c>
      <c r="C78" s="90">
        <v>43465</v>
      </c>
      <c r="D78" s="187">
        <v>40</v>
      </c>
      <c r="E78" s="14">
        <v>55070.400000000001</v>
      </c>
      <c r="F78" s="14"/>
      <c r="G78" s="14">
        <v>907.7</v>
      </c>
      <c r="H78" s="43">
        <f t="shared" si="2"/>
        <v>55978.1</v>
      </c>
      <c r="I78" s="43">
        <f t="shared" si="1"/>
        <v>55978.1</v>
      </c>
      <c r="J78" s="72"/>
      <c r="K78" s="14"/>
    </row>
    <row r="79" spans="1:11" ht="27.75" customHeight="1" outlineLevel="1" x14ac:dyDescent="0.2">
      <c r="A79" s="17" t="s">
        <v>667</v>
      </c>
      <c r="B79" s="89">
        <v>43280</v>
      </c>
      <c r="C79" s="90">
        <v>43465</v>
      </c>
      <c r="D79" s="187">
        <v>40</v>
      </c>
      <c r="E79" s="14">
        <v>55070.400000000001</v>
      </c>
      <c r="F79" s="14"/>
      <c r="G79" s="14">
        <v>907.7</v>
      </c>
      <c r="H79" s="43">
        <f t="shared" si="2"/>
        <v>55978.1</v>
      </c>
      <c r="I79" s="43">
        <f t="shared" si="1"/>
        <v>55978.1</v>
      </c>
      <c r="J79" s="72"/>
      <c r="K79" s="14"/>
    </row>
    <row r="80" spans="1:11" ht="27.75" customHeight="1" outlineLevel="1" x14ac:dyDescent="0.2">
      <c r="A80" s="17" t="s">
        <v>668</v>
      </c>
      <c r="B80" s="89">
        <v>43280</v>
      </c>
      <c r="C80" s="90">
        <v>43465</v>
      </c>
      <c r="D80" s="187">
        <v>40</v>
      </c>
      <c r="E80" s="14">
        <v>55070.400000000001</v>
      </c>
      <c r="F80" s="14"/>
      <c r="G80" s="14">
        <v>907.7</v>
      </c>
      <c r="H80" s="43">
        <f t="shared" si="2"/>
        <v>55978.1</v>
      </c>
      <c r="I80" s="43">
        <f t="shared" si="1"/>
        <v>55978.1</v>
      </c>
      <c r="J80" s="72"/>
      <c r="K80" s="14"/>
    </row>
    <row r="81" spans="1:11" ht="27.75" customHeight="1" outlineLevel="1" x14ac:dyDescent="0.2">
      <c r="A81" s="17" t="s">
        <v>669</v>
      </c>
      <c r="B81" s="89">
        <v>43280</v>
      </c>
      <c r="C81" s="90">
        <v>43465</v>
      </c>
      <c r="D81" s="187">
        <v>40</v>
      </c>
      <c r="E81" s="14">
        <v>55070.400000000001</v>
      </c>
      <c r="F81" s="14"/>
      <c r="G81" s="14">
        <v>907.7</v>
      </c>
      <c r="H81" s="43">
        <f t="shared" si="2"/>
        <v>55978.1</v>
      </c>
      <c r="I81" s="43">
        <f t="shared" si="1"/>
        <v>55978.1</v>
      </c>
      <c r="J81" s="72"/>
      <c r="K81" s="14"/>
    </row>
    <row r="82" spans="1:11" ht="27.75" customHeight="1" outlineLevel="1" x14ac:dyDescent="0.2">
      <c r="A82" s="17" t="s">
        <v>670</v>
      </c>
      <c r="B82" s="89">
        <v>43280</v>
      </c>
      <c r="C82" s="90">
        <v>43465</v>
      </c>
      <c r="D82" s="187">
        <v>40</v>
      </c>
      <c r="E82" s="14">
        <v>55070.400000000001</v>
      </c>
      <c r="F82" s="14"/>
      <c r="G82" s="14">
        <v>907.7</v>
      </c>
      <c r="H82" s="43">
        <f t="shared" si="2"/>
        <v>55978.1</v>
      </c>
      <c r="I82" s="43">
        <f t="shared" si="1"/>
        <v>55978.1</v>
      </c>
      <c r="J82" s="72"/>
      <c r="K82" s="14"/>
    </row>
    <row r="83" spans="1:11" ht="27.75" customHeight="1" outlineLevel="1" x14ac:dyDescent="0.2">
      <c r="A83" s="17" t="s">
        <v>671</v>
      </c>
      <c r="B83" s="89">
        <v>43280</v>
      </c>
      <c r="C83" s="90">
        <v>43465</v>
      </c>
      <c r="D83" s="187">
        <v>40</v>
      </c>
      <c r="E83" s="14">
        <v>55070.400000000001</v>
      </c>
      <c r="F83" s="14"/>
      <c r="G83" s="14">
        <v>907.69</v>
      </c>
      <c r="H83" s="43">
        <f t="shared" si="2"/>
        <v>55978.090000000004</v>
      </c>
      <c r="I83" s="43">
        <f t="shared" si="1"/>
        <v>55978.090000000004</v>
      </c>
      <c r="J83" s="72"/>
      <c r="K83" s="14"/>
    </row>
    <row r="84" spans="1:11" ht="27.75" customHeight="1" outlineLevel="1" x14ac:dyDescent="0.2">
      <c r="A84" s="17" t="s">
        <v>672</v>
      </c>
      <c r="B84" s="89">
        <v>43280</v>
      </c>
      <c r="C84" s="90">
        <v>43465</v>
      </c>
      <c r="D84" s="187">
        <v>40</v>
      </c>
      <c r="E84" s="14">
        <v>55070.400000000001</v>
      </c>
      <c r="F84" s="14"/>
      <c r="G84" s="14">
        <v>907.69</v>
      </c>
      <c r="H84" s="43">
        <f t="shared" si="2"/>
        <v>55978.090000000004</v>
      </c>
      <c r="I84" s="43">
        <f t="shared" si="1"/>
        <v>55978.090000000004</v>
      </c>
      <c r="J84" s="72"/>
      <c r="K84" s="14"/>
    </row>
    <row r="85" spans="1:11" ht="27.75" customHeight="1" outlineLevel="1" x14ac:dyDescent="0.2">
      <c r="A85" s="17" t="s">
        <v>673</v>
      </c>
      <c r="B85" s="89">
        <v>43280</v>
      </c>
      <c r="C85" s="90">
        <v>43465</v>
      </c>
      <c r="D85" s="187">
        <v>40</v>
      </c>
      <c r="E85" s="14">
        <v>55070.400000000001</v>
      </c>
      <c r="F85" s="14"/>
      <c r="G85" s="14">
        <v>907.7</v>
      </c>
      <c r="H85" s="43">
        <f t="shared" si="2"/>
        <v>55978.1</v>
      </c>
      <c r="I85" s="43">
        <f t="shared" si="1"/>
        <v>55978.1</v>
      </c>
      <c r="J85" s="72"/>
      <c r="K85" s="14"/>
    </row>
    <row r="86" spans="1:11" ht="27.75" customHeight="1" outlineLevel="1" x14ac:dyDescent="0.2">
      <c r="A86" s="17" t="s">
        <v>674</v>
      </c>
      <c r="B86" s="89">
        <v>43280</v>
      </c>
      <c r="C86" s="90">
        <v>43465</v>
      </c>
      <c r="D86" s="187">
        <v>40</v>
      </c>
      <c r="E86" s="14">
        <v>55070.400000000001</v>
      </c>
      <c r="F86" s="14"/>
      <c r="G86" s="14">
        <v>907.7</v>
      </c>
      <c r="H86" s="43">
        <f t="shared" si="2"/>
        <v>55978.1</v>
      </c>
      <c r="I86" s="43">
        <f t="shared" si="1"/>
        <v>55978.1</v>
      </c>
      <c r="J86" s="72"/>
      <c r="K86" s="14"/>
    </row>
    <row r="87" spans="1:11" ht="27.75" customHeight="1" outlineLevel="1" x14ac:dyDescent="0.2">
      <c r="A87" s="17" t="s">
        <v>675</v>
      </c>
      <c r="B87" s="89">
        <v>43280</v>
      </c>
      <c r="C87" s="90">
        <v>43465</v>
      </c>
      <c r="D87" s="187">
        <v>40</v>
      </c>
      <c r="E87" s="14">
        <v>55070.400000000001</v>
      </c>
      <c r="F87" s="14"/>
      <c r="G87" s="14">
        <v>907.7</v>
      </c>
      <c r="H87" s="43">
        <f t="shared" si="2"/>
        <v>55978.1</v>
      </c>
      <c r="I87" s="43">
        <f t="shared" si="1"/>
        <v>55978.1</v>
      </c>
      <c r="J87" s="72"/>
      <c r="K87" s="14"/>
    </row>
    <row r="88" spans="1:11" ht="27.75" customHeight="1" outlineLevel="1" x14ac:dyDescent="0.2">
      <c r="A88" s="17" t="s">
        <v>676</v>
      </c>
      <c r="B88" s="89">
        <v>43280</v>
      </c>
      <c r="C88" s="90">
        <v>43465</v>
      </c>
      <c r="D88" s="187">
        <v>40</v>
      </c>
      <c r="E88" s="14">
        <v>55070.400000000001</v>
      </c>
      <c r="F88" s="14"/>
      <c r="G88" s="14">
        <v>907.69</v>
      </c>
      <c r="H88" s="43">
        <f t="shared" si="2"/>
        <v>55978.090000000004</v>
      </c>
      <c r="I88" s="43">
        <f t="shared" si="1"/>
        <v>55978.090000000004</v>
      </c>
      <c r="J88" s="72"/>
      <c r="K88" s="14"/>
    </row>
    <row r="89" spans="1:11" ht="27.75" customHeight="1" outlineLevel="1" x14ac:dyDescent="0.2">
      <c r="A89" s="17" t="s">
        <v>724</v>
      </c>
      <c r="B89" s="89">
        <v>43280</v>
      </c>
      <c r="C89" s="90">
        <v>43465</v>
      </c>
      <c r="D89" s="187">
        <v>40</v>
      </c>
      <c r="E89" s="14">
        <v>55070.400000000001</v>
      </c>
      <c r="F89" s="14"/>
      <c r="G89" s="14">
        <v>907.69</v>
      </c>
      <c r="H89" s="43">
        <f t="shared" si="2"/>
        <v>55978.090000000004</v>
      </c>
      <c r="I89" s="43">
        <f t="shared" si="1"/>
        <v>55978.090000000004</v>
      </c>
      <c r="J89" s="72"/>
      <c r="K89" s="14"/>
    </row>
    <row r="90" spans="1:11" ht="27.75" customHeight="1" outlineLevel="1" x14ac:dyDescent="0.2">
      <c r="A90" s="17" t="s">
        <v>677</v>
      </c>
      <c r="B90" s="89">
        <v>43280</v>
      </c>
      <c r="C90" s="90">
        <v>43465</v>
      </c>
      <c r="D90" s="187">
        <v>40</v>
      </c>
      <c r="E90" s="14">
        <v>55070.400000000001</v>
      </c>
      <c r="F90" s="14"/>
      <c r="G90" s="14">
        <v>907.69</v>
      </c>
      <c r="H90" s="43">
        <f t="shared" si="2"/>
        <v>55978.090000000004</v>
      </c>
      <c r="I90" s="43">
        <f t="shared" si="1"/>
        <v>55978.090000000004</v>
      </c>
      <c r="J90" s="72"/>
      <c r="K90" s="14"/>
    </row>
    <row r="91" spans="1:11" ht="27.75" customHeight="1" outlineLevel="1" x14ac:dyDescent="0.2">
      <c r="A91" s="17" t="s">
        <v>678</v>
      </c>
      <c r="B91" s="89">
        <v>43280</v>
      </c>
      <c r="C91" s="90">
        <v>43465</v>
      </c>
      <c r="D91" s="187">
        <v>40</v>
      </c>
      <c r="E91" s="14">
        <v>55070.400000000001</v>
      </c>
      <c r="F91" s="14"/>
      <c r="G91" s="14">
        <v>907.7</v>
      </c>
      <c r="H91" s="43">
        <f t="shared" si="2"/>
        <v>55978.1</v>
      </c>
      <c r="I91" s="43">
        <f t="shared" si="1"/>
        <v>55978.1</v>
      </c>
      <c r="J91" s="72"/>
      <c r="K91" s="14"/>
    </row>
    <row r="92" spans="1:11" ht="27.75" customHeight="1" outlineLevel="1" x14ac:dyDescent="0.2">
      <c r="A92" s="17" t="s">
        <v>679</v>
      </c>
      <c r="B92" s="89">
        <v>43280</v>
      </c>
      <c r="C92" s="90">
        <v>43465</v>
      </c>
      <c r="D92" s="187">
        <v>40</v>
      </c>
      <c r="E92" s="14">
        <v>135117</v>
      </c>
      <c r="F92" s="14"/>
      <c r="G92" s="14">
        <v>1992.98</v>
      </c>
      <c r="H92" s="43">
        <f t="shared" si="2"/>
        <v>137109.98000000001</v>
      </c>
      <c r="I92" s="43">
        <f t="shared" si="1"/>
        <v>137109.98000000001</v>
      </c>
      <c r="J92" s="72"/>
      <c r="K92" s="14"/>
    </row>
    <row r="93" spans="1:11" ht="27.75" customHeight="1" outlineLevel="1" x14ac:dyDescent="0.2">
      <c r="A93" s="17" t="s">
        <v>680</v>
      </c>
      <c r="B93" s="89">
        <v>43280</v>
      </c>
      <c r="C93" s="90">
        <v>43465</v>
      </c>
      <c r="D93" s="187">
        <v>40</v>
      </c>
      <c r="E93" s="14">
        <v>135117</v>
      </c>
      <c r="F93" s="14"/>
      <c r="G93" s="14">
        <v>1992.97</v>
      </c>
      <c r="H93" s="43">
        <f t="shared" si="2"/>
        <v>137109.97</v>
      </c>
      <c r="I93" s="43">
        <f t="shared" si="1"/>
        <v>137109.97</v>
      </c>
      <c r="J93" s="72"/>
      <c r="K93" s="14"/>
    </row>
    <row r="94" spans="1:11" ht="27.75" customHeight="1" outlineLevel="1" x14ac:dyDescent="0.2">
      <c r="A94" s="17" t="s">
        <v>681</v>
      </c>
      <c r="B94" s="89">
        <v>43280</v>
      </c>
      <c r="C94" s="90">
        <v>43465</v>
      </c>
      <c r="D94" s="187">
        <v>40</v>
      </c>
      <c r="E94" s="14">
        <v>135117</v>
      </c>
      <c r="F94" s="14"/>
      <c r="G94" s="14">
        <v>1992.97</v>
      </c>
      <c r="H94" s="43">
        <f t="shared" si="2"/>
        <v>137109.97</v>
      </c>
      <c r="I94" s="43">
        <f t="shared" si="1"/>
        <v>137109.97</v>
      </c>
      <c r="J94" s="72"/>
      <c r="K94" s="14"/>
    </row>
    <row r="95" spans="1:11" ht="27.75" customHeight="1" outlineLevel="1" x14ac:dyDescent="0.2">
      <c r="A95" s="17" t="s">
        <v>682</v>
      </c>
      <c r="B95" s="89">
        <v>43280</v>
      </c>
      <c r="C95" s="90">
        <v>43465</v>
      </c>
      <c r="D95" s="187">
        <v>40</v>
      </c>
      <c r="E95" s="14">
        <v>135117</v>
      </c>
      <c r="F95" s="14"/>
      <c r="G95" s="14">
        <v>1992.98</v>
      </c>
      <c r="H95" s="43">
        <f t="shared" si="2"/>
        <v>137109.98000000001</v>
      </c>
      <c r="I95" s="43">
        <f t="shared" si="1"/>
        <v>137109.98000000001</v>
      </c>
      <c r="J95" s="72"/>
      <c r="K95" s="14"/>
    </row>
    <row r="96" spans="1:11" ht="27.75" customHeight="1" outlineLevel="1" x14ac:dyDescent="0.2">
      <c r="A96" s="17" t="s">
        <v>683</v>
      </c>
      <c r="B96" s="89">
        <v>43280</v>
      </c>
      <c r="C96" s="90">
        <v>43465</v>
      </c>
      <c r="D96" s="187">
        <v>40</v>
      </c>
      <c r="E96" s="14">
        <v>162144.07</v>
      </c>
      <c r="F96" s="14"/>
      <c r="G96" s="14">
        <v>2391.63</v>
      </c>
      <c r="H96" s="43">
        <f t="shared" si="2"/>
        <v>164535.70000000001</v>
      </c>
      <c r="I96" s="43">
        <f t="shared" si="1"/>
        <v>164535.70000000001</v>
      </c>
      <c r="J96" s="72"/>
      <c r="K96" s="14"/>
    </row>
    <row r="97" spans="1:11" ht="27.75" customHeight="1" outlineLevel="1" x14ac:dyDescent="0.2">
      <c r="A97" s="17" t="s">
        <v>684</v>
      </c>
      <c r="B97" s="89">
        <v>43280</v>
      </c>
      <c r="C97" s="90">
        <v>43465</v>
      </c>
      <c r="D97" s="187">
        <v>40</v>
      </c>
      <c r="E97" s="14">
        <v>135117</v>
      </c>
      <c r="F97" s="14"/>
      <c r="G97" s="14">
        <v>1992.97</v>
      </c>
      <c r="H97" s="43">
        <f t="shared" si="2"/>
        <v>137109.97</v>
      </c>
      <c r="I97" s="43">
        <f t="shared" si="1"/>
        <v>137109.97</v>
      </c>
      <c r="J97" s="72"/>
      <c r="K97" s="14"/>
    </row>
    <row r="98" spans="1:11" ht="27.75" customHeight="1" outlineLevel="1" x14ac:dyDescent="0.2">
      <c r="A98" s="17" t="s">
        <v>685</v>
      </c>
      <c r="B98" s="89">
        <v>43280</v>
      </c>
      <c r="C98" s="90">
        <v>43465</v>
      </c>
      <c r="D98" s="187">
        <v>40</v>
      </c>
      <c r="E98" s="14">
        <v>135117</v>
      </c>
      <c r="F98" s="14"/>
      <c r="G98" s="14">
        <v>1992.97</v>
      </c>
      <c r="H98" s="43">
        <f t="shared" si="2"/>
        <v>137109.97</v>
      </c>
      <c r="I98" s="43">
        <f t="shared" si="1"/>
        <v>137109.97</v>
      </c>
      <c r="J98" s="72"/>
      <c r="K98" s="14"/>
    </row>
    <row r="99" spans="1:11" ht="27.75" customHeight="1" outlineLevel="1" x14ac:dyDescent="0.2">
      <c r="A99" s="17" t="s">
        <v>686</v>
      </c>
      <c r="B99" s="89">
        <v>43280</v>
      </c>
      <c r="C99" s="90">
        <v>43465</v>
      </c>
      <c r="D99" s="187">
        <v>40</v>
      </c>
      <c r="E99" s="14">
        <v>16945.82</v>
      </c>
      <c r="F99" s="14"/>
      <c r="G99" s="14">
        <v>249.95</v>
      </c>
      <c r="H99" s="43">
        <f t="shared" si="2"/>
        <v>17195.77</v>
      </c>
      <c r="I99" s="43">
        <f t="shared" si="1"/>
        <v>17195.77</v>
      </c>
      <c r="J99" s="72"/>
      <c r="K99" s="14"/>
    </row>
    <row r="100" spans="1:11" ht="27.75" customHeight="1" outlineLevel="1" x14ac:dyDescent="0.2">
      <c r="A100" s="17" t="s">
        <v>687</v>
      </c>
      <c r="B100" s="89">
        <v>43280</v>
      </c>
      <c r="C100" s="90">
        <v>43465</v>
      </c>
      <c r="D100" s="187">
        <v>40</v>
      </c>
      <c r="E100" s="14">
        <v>16945.82</v>
      </c>
      <c r="F100" s="14"/>
      <c r="G100" s="14">
        <v>249.95</v>
      </c>
      <c r="H100" s="43">
        <f t="shared" si="2"/>
        <v>17195.77</v>
      </c>
      <c r="I100" s="43">
        <f t="shared" si="1"/>
        <v>17195.77</v>
      </c>
      <c r="J100" s="72"/>
      <c r="K100" s="14"/>
    </row>
    <row r="101" spans="1:11" ht="27.75" customHeight="1" outlineLevel="1" x14ac:dyDescent="0.2">
      <c r="A101" s="17" t="s">
        <v>688</v>
      </c>
      <c r="B101" s="89">
        <v>43280</v>
      </c>
      <c r="C101" s="90">
        <v>43465</v>
      </c>
      <c r="D101" s="187">
        <v>40</v>
      </c>
      <c r="E101" s="14">
        <v>16945.82</v>
      </c>
      <c r="F101" s="14"/>
      <c r="G101" s="14">
        <v>249.95</v>
      </c>
      <c r="H101" s="43">
        <f t="shared" si="2"/>
        <v>17195.77</v>
      </c>
      <c r="I101" s="43">
        <f t="shared" si="1"/>
        <v>17195.77</v>
      </c>
      <c r="J101" s="72"/>
      <c r="K101" s="14"/>
    </row>
    <row r="102" spans="1:11" ht="27.75" customHeight="1" outlineLevel="1" x14ac:dyDescent="0.2">
      <c r="A102" s="17" t="s">
        <v>689</v>
      </c>
      <c r="B102" s="89">
        <v>43280</v>
      </c>
      <c r="C102" s="90">
        <v>43465</v>
      </c>
      <c r="D102" s="187">
        <v>40</v>
      </c>
      <c r="E102" s="14">
        <v>16945.82</v>
      </c>
      <c r="F102" s="14"/>
      <c r="G102" s="14">
        <v>249.95</v>
      </c>
      <c r="H102" s="43">
        <f t="shared" si="2"/>
        <v>17195.77</v>
      </c>
      <c r="I102" s="43">
        <f t="shared" si="1"/>
        <v>17195.77</v>
      </c>
      <c r="J102" s="72"/>
      <c r="K102" s="14"/>
    </row>
    <row r="103" spans="1:11" ht="27.75" customHeight="1" outlineLevel="1" x14ac:dyDescent="0.2">
      <c r="A103" s="17" t="s">
        <v>690</v>
      </c>
      <c r="B103" s="89">
        <v>43280</v>
      </c>
      <c r="C103" s="90">
        <v>43465</v>
      </c>
      <c r="D103" s="187">
        <v>40</v>
      </c>
      <c r="E103" s="14">
        <v>16945.82</v>
      </c>
      <c r="F103" s="14"/>
      <c r="G103" s="14">
        <v>249.95</v>
      </c>
      <c r="H103" s="43">
        <f t="shared" si="2"/>
        <v>17195.77</v>
      </c>
      <c r="I103" s="43">
        <f t="shared" si="1"/>
        <v>17195.77</v>
      </c>
      <c r="J103" s="72"/>
      <c r="K103" s="14"/>
    </row>
    <row r="104" spans="1:11" ht="27.75" customHeight="1" outlineLevel="1" x14ac:dyDescent="0.2">
      <c r="A104" s="17" t="s">
        <v>691</v>
      </c>
      <c r="B104" s="89">
        <v>43280</v>
      </c>
      <c r="C104" s="90">
        <v>43465</v>
      </c>
      <c r="D104" s="187">
        <v>40</v>
      </c>
      <c r="E104" s="14">
        <v>135117</v>
      </c>
      <c r="F104" s="14"/>
      <c r="G104" s="14">
        <v>1992.98</v>
      </c>
      <c r="H104" s="43">
        <f t="shared" si="2"/>
        <v>137109.98000000001</v>
      </c>
      <c r="I104" s="43">
        <f t="shared" si="1"/>
        <v>137109.98000000001</v>
      </c>
      <c r="J104" s="72"/>
      <c r="K104" s="14"/>
    </row>
    <row r="105" spans="1:11" ht="27.75" customHeight="1" outlineLevel="1" x14ac:dyDescent="0.2">
      <c r="A105" s="17" t="s">
        <v>692</v>
      </c>
      <c r="B105" s="89">
        <v>43280</v>
      </c>
      <c r="C105" s="90">
        <v>43465</v>
      </c>
      <c r="D105" s="187">
        <v>40</v>
      </c>
      <c r="E105" s="14">
        <v>162144.07</v>
      </c>
      <c r="F105" s="14"/>
      <c r="G105" s="14">
        <v>2391.63</v>
      </c>
      <c r="H105" s="43">
        <f t="shared" si="2"/>
        <v>164535.70000000001</v>
      </c>
      <c r="I105" s="43">
        <f t="shared" si="1"/>
        <v>164535.70000000001</v>
      </c>
      <c r="J105" s="72"/>
      <c r="K105" s="14"/>
    </row>
    <row r="106" spans="1:11" ht="27.75" customHeight="1" outlineLevel="1" x14ac:dyDescent="0.2">
      <c r="A106" s="17" t="s">
        <v>693</v>
      </c>
      <c r="B106" s="89">
        <v>43280</v>
      </c>
      <c r="C106" s="90">
        <v>43465</v>
      </c>
      <c r="D106" s="187">
        <v>40</v>
      </c>
      <c r="E106" s="14">
        <v>135117</v>
      </c>
      <c r="F106" s="14"/>
      <c r="G106" s="14">
        <v>1992.98</v>
      </c>
      <c r="H106" s="43">
        <f t="shared" si="2"/>
        <v>137109.98000000001</v>
      </c>
      <c r="I106" s="43">
        <f t="shared" si="1"/>
        <v>137109.98000000001</v>
      </c>
      <c r="J106" s="72"/>
      <c r="K106" s="14"/>
    </row>
    <row r="107" spans="1:11" ht="27.75" customHeight="1" outlineLevel="1" x14ac:dyDescent="0.2">
      <c r="A107" s="17" t="s">
        <v>694</v>
      </c>
      <c r="B107" s="89">
        <v>43280</v>
      </c>
      <c r="C107" s="90">
        <v>43465</v>
      </c>
      <c r="D107" s="187">
        <v>40</v>
      </c>
      <c r="E107" s="14">
        <v>135117</v>
      </c>
      <c r="F107" s="14"/>
      <c r="G107" s="14">
        <v>1992.97</v>
      </c>
      <c r="H107" s="43">
        <f t="shared" si="2"/>
        <v>137109.97</v>
      </c>
      <c r="I107" s="43">
        <f t="shared" si="1"/>
        <v>137109.97</v>
      </c>
      <c r="J107" s="72"/>
      <c r="K107" s="14"/>
    </row>
    <row r="108" spans="1:11" ht="27.75" customHeight="1" outlineLevel="1" x14ac:dyDescent="0.2">
      <c r="A108" s="17" t="s">
        <v>695</v>
      </c>
      <c r="B108" s="89">
        <v>43280</v>
      </c>
      <c r="C108" s="90">
        <v>43465</v>
      </c>
      <c r="D108" s="187">
        <v>40</v>
      </c>
      <c r="E108" s="14">
        <v>135117</v>
      </c>
      <c r="F108" s="14"/>
      <c r="G108" s="14">
        <v>1992.98</v>
      </c>
      <c r="H108" s="43">
        <f t="shared" si="2"/>
        <v>137109.98000000001</v>
      </c>
      <c r="I108" s="43">
        <f t="shared" si="1"/>
        <v>137109.98000000001</v>
      </c>
      <c r="J108" s="72"/>
      <c r="K108" s="14"/>
    </row>
    <row r="109" spans="1:11" ht="27.75" customHeight="1" outlineLevel="1" x14ac:dyDescent="0.2">
      <c r="A109" s="17" t="s">
        <v>696</v>
      </c>
      <c r="B109" s="89">
        <v>43280</v>
      </c>
      <c r="C109" s="90">
        <v>43465</v>
      </c>
      <c r="D109" s="187">
        <v>40</v>
      </c>
      <c r="E109" s="14">
        <v>135117</v>
      </c>
      <c r="F109" s="14"/>
      <c r="G109" s="14">
        <v>1992.97</v>
      </c>
      <c r="H109" s="43">
        <f t="shared" si="2"/>
        <v>137109.97</v>
      </c>
      <c r="I109" s="43">
        <f t="shared" si="1"/>
        <v>137109.97</v>
      </c>
      <c r="J109" s="72"/>
      <c r="K109" s="14"/>
    </row>
    <row r="110" spans="1:11" ht="27.75" customHeight="1" outlineLevel="1" x14ac:dyDescent="0.2">
      <c r="A110" s="17" t="s">
        <v>697</v>
      </c>
      <c r="B110" s="89">
        <v>43280</v>
      </c>
      <c r="C110" s="90">
        <v>43465</v>
      </c>
      <c r="D110" s="187">
        <v>40</v>
      </c>
      <c r="E110" s="14">
        <v>135117</v>
      </c>
      <c r="F110" s="14"/>
      <c r="G110" s="14">
        <v>1992.98</v>
      </c>
      <c r="H110" s="43">
        <f t="shared" si="2"/>
        <v>137109.98000000001</v>
      </c>
      <c r="I110" s="43">
        <f t="shared" si="1"/>
        <v>137109.98000000001</v>
      </c>
      <c r="J110" s="72"/>
      <c r="K110" s="14"/>
    </row>
    <row r="111" spans="1:11" ht="27.75" customHeight="1" outlineLevel="1" x14ac:dyDescent="0.2">
      <c r="A111" s="17" t="s">
        <v>698</v>
      </c>
      <c r="B111" s="89">
        <v>43280</v>
      </c>
      <c r="C111" s="90">
        <v>43465</v>
      </c>
      <c r="D111" s="187">
        <v>40</v>
      </c>
      <c r="E111" s="14">
        <v>135117</v>
      </c>
      <c r="F111" s="14"/>
      <c r="G111" s="14">
        <v>1992.97</v>
      </c>
      <c r="H111" s="43">
        <f t="shared" si="2"/>
        <v>137109.97</v>
      </c>
      <c r="I111" s="43">
        <f t="shared" si="1"/>
        <v>137109.97</v>
      </c>
      <c r="J111" s="72"/>
      <c r="K111" s="14"/>
    </row>
    <row r="112" spans="1:11" ht="27.75" customHeight="1" outlineLevel="1" x14ac:dyDescent="0.2">
      <c r="A112" s="17" t="s">
        <v>699</v>
      </c>
      <c r="B112" s="89">
        <v>43280</v>
      </c>
      <c r="C112" s="90">
        <v>43465</v>
      </c>
      <c r="D112" s="187">
        <v>40</v>
      </c>
      <c r="E112" s="14">
        <v>135117</v>
      </c>
      <c r="F112" s="14"/>
      <c r="G112" s="14">
        <v>1992.97</v>
      </c>
      <c r="H112" s="43">
        <f t="shared" si="2"/>
        <v>137109.97</v>
      </c>
      <c r="I112" s="43">
        <f t="shared" si="1"/>
        <v>137109.97</v>
      </c>
      <c r="J112" s="72"/>
      <c r="K112" s="14"/>
    </row>
    <row r="113" spans="1:11" ht="27.75" customHeight="1" outlineLevel="1" x14ac:dyDescent="0.2">
      <c r="A113" s="17" t="s">
        <v>700</v>
      </c>
      <c r="B113" s="89">
        <v>43280</v>
      </c>
      <c r="C113" s="90">
        <v>43465</v>
      </c>
      <c r="D113" s="187">
        <v>40</v>
      </c>
      <c r="E113" s="14">
        <v>135117</v>
      </c>
      <c r="F113" s="14"/>
      <c r="G113" s="14">
        <v>1992.97</v>
      </c>
      <c r="H113" s="43">
        <f t="shared" si="2"/>
        <v>137109.97</v>
      </c>
      <c r="I113" s="43">
        <f t="shared" si="1"/>
        <v>137109.97</v>
      </c>
      <c r="J113" s="72"/>
      <c r="K113" s="14"/>
    </row>
    <row r="114" spans="1:11" ht="27.75" customHeight="1" outlineLevel="1" x14ac:dyDescent="0.2">
      <c r="A114" s="17" t="s">
        <v>701</v>
      </c>
      <c r="B114" s="89">
        <v>43280</v>
      </c>
      <c r="C114" s="90">
        <v>43465</v>
      </c>
      <c r="D114" s="187">
        <v>40</v>
      </c>
      <c r="E114" s="14">
        <v>135117</v>
      </c>
      <c r="F114" s="14"/>
      <c r="G114" s="14">
        <v>1992.97</v>
      </c>
      <c r="H114" s="43">
        <f t="shared" si="2"/>
        <v>137109.97</v>
      </c>
      <c r="I114" s="43">
        <f t="shared" si="1"/>
        <v>137109.97</v>
      </c>
      <c r="J114" s="72"/>
      <c r="K114" s="14"/>
    </row>
    <row r="115" spans="1:11" ht="12" customHeight="1" outlineLevel="1" x14ac:dyDescent="0.2">
      <c r="A115" s="17" t="s">
        <v>725</v>
      </c>
      <c r="B115" s="89">
        <v>43280</v>
      </c>
      <c r="C115" s="90">
        <v>43465</v>
      </c>
      <c r="D115" s="187">
        <v>40</v>
      </c>
      <c r="E115" s="14">
        <v>135117</v>
      </c>
      <c r="F115" s="14"/>
      <c r="G115" s="14">
        <v>1992.98</v>
      </c>
      <c r="H115" s="43">
        <f t="shared" si="2"/>
        <v>137109.98000000001</v>
      </c>
      <c r="I115" s="43">
        <f>H115</f>
        <v>137109.98000000001</v>
      </c>
      <c r="J115" s="72"/>
      <c r="K115" s="14"/>
    </row>
    <row r="116" spans="1:11" ht="27.75" customHeight="1" outlineLevel="1" x14ac:dyDescent="0.2">
      <c r="A116" s="17" t="s">
        <v>702</v>
      </c>
      <c r="B116" s="89">
        <v>43280</v>
      </c>
      <c r="C116" s="90">
        <v>43465</v>
      </c>
      <c r="D116" s="187">
        <v>40</v>
      </c>
      <c r="E116" s="14">
        <v>162144.07</v>
      </c>
      <c r="F116" s="14"/>
      <c r="G116" s="14">
        <v>2391.62</v>
      </c>
      <c r="H116" s="43">
        <f t="shared" si="2"/>
        <v>164535.69</v>
      </c>
      <c r="I116" s="43">
        <f t="shared" si="1"/>
        <v>164535.69</v>
      </c>
      <c r="J116" s="72"/>
      <c r="K116" s="14"/>
    </row>
    <row r="117" spans="1:11" ht="27.75" customHeight="1" outlineLevel="1" x14ac:dyDescent="0.2">
      <c r="A117" s="17" t="s">
        <v>703</v>
      </c>
      <c r="B117" s="89">
        <v>43280</v>
      </c>
      <c r="C117" s="90">
        <v>43465</v>
      </c>
      <c r="D117" s="187">
        <v>40</v>
      </c>
      <c r="E117" s="14">
        <v>135117</v>
      </c>
      <c r="F117" s="14"/>
      <c r="G117" s="14">
        <v>1992.98</v>
      </c>
      <c r="H117" s="43">
        <f t="shared" si="2"/>
        <v>137109.98000000001</v>
      </c>
      <c r="I117" s="43">
        <f t="shared" si="1"/>
        <v>137109.98000000001</v>
      </c>
      <c r="J117" s="72"/>
      <c r="K117" s="14"/>
    </row>
    <row r="118" spans="1:11" ht="27.75" customHeight="1" outlineLevel="1" x14ac:dyDescent="0.2">
      <c r="A118" s="17" t="s">
        <v>704</v>
      </c>
      <c r="B118" s="89">
        <v>43280</v>
      </c>
      <c r="C118" s="90">
        <v>43465</v>
      </c>
      <c r="D118" s="187">
        <v>40</v>
      </c>
      <c r="E118" s="14">
        <v>135117</v>
      </c>
      <c r="F118" s="14"/>
      <c r="G118" s="14">
        <v>1992.98</v>
      </c>
      <c r="H118" s="43">
        <f t="shared" si="2"/>
        <v>137109.98000000001</v>
      </c>
      <c r="I118" s="43">
        <f t="shared" si="1"/>
        <v>137109.98000000001</v>
      </c>
      <c r="J118" s="72"/>
      <c r="K118" s="14"/>
    </row>
    <row r="119" spans="1:11" ht="27.75" customHeight="1" outlineLevel="1" x14ac:dyDescent="0.2">
      <c r="A119" s="17" t="s">
        <v>705</v>
      </c>
      <c r="B119" s="89">
        <v>43280</v>
      </c>
      <c r="C119" s="90">
        <v>43465</v>
      </c>
      <c r="D119" s="187">
        <v>40</v>
      </c>
      <c r="E119" s="14">
        <v>135117</v>
      </c>
      <c r="F119" s="14"/>
      <c r="G119" s="14">
        <v>1992.98</v>
      </c>
      <c r="H119" s="43">
        <f t="shared" si="2"/>
        <v>137109.98000000001</v>
      </c>
      <c r="I119" s="43">
        <f t="shared" si="1"/>
        <v>137109.98000000001</v>
      </c>
      <c r="J119" s="72"/>
      <c r="K119" s="14"/>
    </row>
    <row r="120" spans="1:11" ht="27.75" customHeight="1" outlineLevel="1" x14ac:dyDescent="0.2">
      <c r="A120" s="17" t="s">
        <v>706</v>
      </c>
      <c r="B120" s="89">
        <v>43280</v>
      </c>
      <c r="C120" s="90">
        <v>43465</v>
      </c>
      <c r="D120" s="187">
        <v>40</v>
      </c>
      <c r="E120" s="14">
        <v>162144.06</v>
      </c>
      <c r="F120" s="14"/>
      <c r="G120" s="14">
        <v>2391.62</v>
      </c>
      <c r="H120" s="43">
        <f t="shared" si="2"/>
        <v>164535.67999999999</v>
      </c>
      <c r="I120" s="43">
        <f t="shared" si="1"/>
        <v>164535.67999999999</v>
      </c>
      <c r="J120" s="72"/>
      <c r="K120" s="14"/>
    </row>
    <row r="121" spans="1:11" ht="27.75" customHeight="1" outlineLevel="1" x14ac:dyDescent="0.2">
      <c r="A121" s="17" t="s">
        <v>707</v>
      </c>
      <c r="B121" s="89">
        <v>43280</v>
      </c>
      <c r="C121" s="90">
        <v>43465</v>
      </c>
      <c r="D121" s="187">
        <v>40</v>
      </c>
      <c r="E121" s="14">
        <v>135117</v>
      </c>
      <c r="F121" s="14"/>
      <c r="G121" s="14">
        <v>1992.97</v>
      </c>
      <c r="H121" s="43">
        <f t="shared" si="2"/>
        <v>137109.97</v>
      </c>
      <c r="I121" s="43">
        <f t="shared" si="1"/>
        <v>137109.97</v>
      </c>
      <c r="J121" s="72"/>
      <c r="K121" s="14"/>
    </row>
    <row r="122" spans="1:11" ht="27.75" customHeight="1" outlineLevel="1" x14ac:dyDescent="0.2">
      <c r="A122" s="17" t="s">
        <v>708</v>
      </c>
      <c r="B122" s="89">
        <v>43280</v>
      </c>
      <c r="C122" s="90">
        <v>43465</v>
      </c>
      <c r="D122" s="187">
        <v>40</v>
      </c>
      <c r="E122" s="14">
        <v>162144.07</v>
      </c>
      <c r="F122" s="14"/>
      <c r="G122" s="14">
        <v>2391.63</v>
      </c>
      <c r="H122" s="43">
        <f t="shared" si="2"/>
        <v>164535.70000000001</v>
      </c>
      <c r="I122" s="43">
        <f t="shared" si="1"/>
        <v>164535.70000000001</v>
      </c>
      <c r="J122" s="72"/>
      <c r="K122" s="14"/>
    </row>
    <row r="123" spans="1:11" ht="27.75" customHeight="1" outlineLevel="1" x14ac:dyDescent="0.2">
      <c r="A123" s="17" t="s">
        <v>709</v>
      </c>
      <c r="B123" s="89">
        <v>43280</v>
      </c>
      <c r="C123" s="90">
        <v>43465</v>
      </c>
      <c r="D123" s="187">
        <v>40</v>
      </c>
      <c r="E123" s="14">
        <v>135117</v>
      </c>
      <c r="F123" s="14"/>
      <c r="G123" s="14">
        <v>1992.98</v>
      </c>
      <c r="H123" s="43">
        <f t="shared" si="2"/>
        <v>137109.98000000001</v>
      </c>
      <c r="I123" s="43">
        <f t="shared" si="1"/>
        <v>137109.98000000001</v>
      </c>
      <c r="J123" s="72"/>
      <c r="K123" s="14"/>
    </row>
    <row r="124" spans="1:11" ht="27.75" customHeight="1" outlineLevel="1" x14ac:dyDescent="0.2">
      <c r="A124" s="17" t="s">
        <v>710</v>
      </c>
      <c r="B124" s="89">
        <v>43280</v>
      </c>
      <c r="C124" s="90">
        <v>43465</v>
      </c>
      <c r="D124" s="187">
        <v>40</v>
      </c>
      <c r="E124" s="14">
        <v>135117</v>
      </c>
      <c r="F124" s="14"/>
      <c r="G124" s="14">
        <v>1992.98</v>
      </c>
      <c r="H124" s="43">
        <f t="shared" si="2"/>
        <v>137109.98000000001</v>
      </c>
      <c r="I124" s="43">
        <f t="shared" si="1"/>
        <v>137109.98000000001</v>
      </c>
      <c r="J124" s="72"/>
      <c r="K124" s="14"/>
    </row>
    <row r="125" spans="1:11" ht="27.75" customHeight="1" outlineLevel="1" x14ac:dyDescent="0.2">
      <c r="A125" s="17" t="s">
        <v>711</v>
      </c>
      <c r="B125" s="89">
        <v>43280</v>
      </c>
      <c r="C125" s="90">
        <v>43465</v>
      </c>
      <c r="D125" s="187">
        <v>40</v>
      </c>
      <c r="E125" s="14">
        <v>135117</v>
      </c>
      <c r="F125" s="14"/>
      <c r="G125" s="14">
        <v>1992.97</v>
      </c>
      <c r="H125" s="43">
        <f t="shared" si="2"/>
        <v>137109.97</v>
      </c>
      <c r="I125" s="43">
        <f t="shared" si="1"/>
        <v>137109.97</v>
      </c>
      <c r="J125" s="72"/>
      <c r="K125" s="14"/>
    </row>
    <row r="126" spans="1:11" ht="27.75" customHeight="1" outlineLevel="1" x14ac:dyDescent="0.2">
      <c r="A126" s="17" t="s">
        <v>712</v>
      </c>
      <c r="B126" s="89">
        <v>43280</v>
      </c>
      <c r="C126" s="90">
        <v>43465</v>
      </c>
      <c r="D126" s="187">
        <v>40</v>
      </c>
      <c r="E126" s="14">
        <v>135117</v>
      </c>
      <c r="F126" s="14"/>
      <c r="G126" s="14">
        <v>1992.98</v>
      </c>
      <c r="H126" s="43">
        <f t="shared" si="2"/>
        <v>137109.98000000001</v>
      </c>
      <c r="I126" s="43">
        <f t="shared" si="1"/>
        <v>137109.98000000001</v>
      </c>
      <c r="J126" s="72"/>
      <c r="K126" s="14"/>
    </row>
    <row r="127" spans="1:11" ht="27.75" customHeight="1" outlineLevel="1" x14ac:dyDescent="0.2">
      <c r="A127" s="17" t="s">
        <v>713</v>
      </c>
      <c r="B127" s="89">
        <v>43280</v>
      </c>
      <c r="C127" s="90">
        <v>43465</v>
      </c>
      <c r="D127" s="187">
        <v>40</v>
      </c>
      <c r="E127" s="14">
        <v>135117</v>
      </c>
      <c r="F127" s="14"/>
      <c r="G127" s="14">
        <v>1992.97</v>
      </c>
      <c r="H127" s="43">
        <f t="shared" si="2"/>
        <v>137109.97</v>
      </c>
      <c r="I127" s="43">
        <f t="shared" si="1"/>
        <v>137109.97</v>
      </c>
      <c r="J127" s="72"/>
      <c r="K127" s="14"/>
    </row>
    <row r="128" spans="1:11" ht="27.75" customHeight="1" outlineLevel="1" x14ac:dyDescent="0.2">
      <c r="A128" s="17" t="s">
        <v>714</v>
      </c>
      <c r="B128" s="89">
        <v>43280</v>
      </c>
      <c r="C128" s="90">
        <v>43465</v>
      </c>
      <c r="D128" s="187">
        <v>40</v>
      </c>
      <c r="E128" s="14">
        <v>135117</v>
      </c>
      <c r="F128" s="14"/>
      <c r="G128" s="14">
        <v>1992.98</v>
      </c>
      <c r="H128" s="43">
        <f t="shared" si="2"/>
        <v>137109.98000000001</v>
      </c>
      <c r="I128" s="43">
        <f t="shared" si="1"/>
        <v>137109.98000000001</v>
      </c>
      <c r="J128" s="72"/>
      <c r="K128" s="14"/>
    </row>
    <row r="129" spans="1:11" ht="27.75" customHeight="1" outlineLevel="1" x14ac:dyDescent="0.2">
      <c r="A129" s="17" t="s">
        <v>715</v>
      </c>
      <c r="B129" s="89">
        <v>43280</v>
      </c>
      <c r="C129" s="90">
        <v>43465</v>
      </c>
      <c r="D129" s="187">
        <v>40</v>
      </c>
      <c r="E129" s="14">
        <v>16945.82</v>
      </c>
      <c r="F129" s="14"/>
      <c r="G129" s="14">
        <v>249.95</v>
      </c>
      <c r="H129" s="43">
        <f t="shared" si="2"/>
        <v>17195.77</v>
      </c>
      <c r="I129" s="43">
        <f t="shared" si="1"/>
        <v>17195.77</v>
      </c>
      <c r="J129" s="72"/>
      <c r="K129" s="14"/>
    </row>
    <row r="130" spans="1:11" ht="27.75" customHeight="1" outlineLevel="1" x14ac:dyDescent="0.2">
      <c r="A130" s="17" t="s">
        <v>716</v>
      </c>
      <c r="B130" s="89">
        <v>43280</v>
      </c>
      <c r="C130" s="90">
        <v>43465</v>
      </c>
      <c r="D130" s="187">
        <v>40</v>
      </c>
      <c r="E130" s="14">
        <v>55070.400000000001</v>
      </c>
      <c r="F130" s="14"/>
      <c r="G130" s="14">
        <v>907.7</v>
      </c>
      <c r="H130" s="43">
        <f t="shared" si="2"/>
        <v>55978.1</v>
      </c>
      <c r="I130" s="43">
        <f t="shared" si="1"/>
        <v>55978.1</v>
      </c>
      <c r="J130" s="72"/>
      <c r="K130" s="14"/>
    </row>
    <row r="131" spans="1:11" ht="27.75" customHeight="1" outlineLevel="1" x14ac:dyDescent="0.2">
      <c r="A131" s="17" t="s">
        <v>717</v>
      </c>
      <c r="B131" s="89">
        <v>43280</v>
      </c>
      <c r="C131" s="90">
        <v>43465</v>
      </c>
      <c r="D131" s="187">
        <v>40</v>
      </c>
      <c r="E131" s="14">
        <v>16945.82</v>
      </c>
      <c r="F131" s="14"/>
      <c r="G131" s="14">
        <v>249.95</v>
      </c>
      <c r="H131" s="43">
        <f t="shared" si="2"/>
        <v>17195.77</v>
      </c>
      <c r="I131" s="43">
        <f t="shared" si="1"/>
        <v>17195.77</v>
      </c>
      <c r="J131" s="72"/>
      <c r="K131" s="14"/>
    </row>
    <row r="132" spans="1:11" ht="27.75" customHeight="1" outlineLevel="1" x14ac:dyDescent="0.2">
      <c r="A132" s="17" t="s">
        <v>718</v>
      </c>
      <c r="B132" s="89">
        <v>43280</v>
      </c>
      <c r="C132" s="90">
        <v>43465</v>
      </c>
      <c r="D132" s="187">
        <v>40</v>
      </c>
      <c r="E132" s="14">
        <v>16945.82</v>
      </c>
      <c r="F132" s="14"/>
      <c r="G132" s="14">
        <v>249.95</v>
      </c>
      <c r="H132" s="43">
        <f t="shared" si="2"/>
        <v>17195.77</v>
      </c>
      <c r="I132" s="43">
        <f t="shared" si="1"/>
        <v>17195.77</v>
      </c>
      <c r="J132" s="72"/>
      <c r="K132" s="14"/>
    </row>
    <row r="133" spans="1:11" ht="27.75" customHeight="1" outlineLevel="1" x14ac:dyDescent="0.2">
      <c r="A133" s="17" t="s">
        <v>719</v>
      </c>
      <c r="B133" s="89">
        <v>43280</v>
      </c>
      <c r="C133" s="90">
        <v>43465</v>
      </c>
      <c r="D133" s="187">
        <v>40</v>
      </c>
      <c r="E133" s="14">
        <v>16945.82</v>
      </c>
      <c r="F133" s="14"/>
      <c r="G133" s="14">
        <v>249.95</v>
      </c>
      <c r="H133" s="43">
        <f t="shared" si="2"/>
        <v>17195.77</v>
      </c>
      <c r="I133" s="43">
        <f t="shared" si="1"/>
        <v>17195.77</v>
      </c>
      <c r="J133" s="72"/>
      <c r="K133" s="14"/>
    </row>
    <row r="134" spans="1:11" ht="27.75" customHeight="1" outlineLevel="1" x14ac:dyDescent="0.2">
      <c r="A134" s="17" t="s">
        <v>720</v>
      </c>
      <c r="B134" s="89">
        <v>43280</v>
      </c>
      <c r="C134" s="90">
        <v>43465</v>
      </c>
      <c r="D134" s="187">
        <v>40</v>
      </c>
      <c r="E134" s="14">
        <v>16945.849999999999</v>
      </c>
      <c r="F134" s="14"/>
      <c r="G134" s="14">
        <v>249.96</v>
      </c>
      <c r="H134" s="43">
        <f t="shared" si="2"/>
        <v>17195.809999999998</v>
      </c>
      <c r="I134" s="43">
        <f t="shared" si="1"/>
        <v>17195.809999999998</v>
      </c>
      <c r="J134" s="72"/>
      <c r="K134" s="14"/>
    </row>
    <row r="135" spans="1:11" ht="27.75" customHeight="1" outlineLevel="1" x14ac:dyDescent="0.2">
      <c r="A135" s="17" t="s">
        <v>721</v>
      </c>
      <c r="B135" s="89">
        <v>43280</v>
      </c>
      <c r="C135" s="90">
        <v>43465</v>
      </c>
      <c r="D135" s="187">
        <v>40</v>
      </c>
      <c r="E135" s="14">
        <v>16945.810000000001</v>
      </c>
      <c r="F135" s="14"/>
      <c r="G135" s="14">
        <v>249.95</v>
      </c>
      <c r="H135" s="43">
        <f t="shared" si="2"/>
        <v>17195.760000000002</v>
      </c>
      <c r="I135" s="43">
        <f t="shared" si="1"/>
        <v>17195.760000000002</v>
      </c>
      <c r="J135" s="72"/>
      <c r="K135" s="14"/>
    </row>
    <row r="136" spans="1:11" ht="27.75" customHeight="1" outlineLevel="1" x14ac:dyDescent="0.2">
      <c r="A136" s="17" t="s">
        <v>722</v>
      </c>
      <c r="B136" s="89">
        <v>43280</v>
      </c>
      <c r="C136" s="90">
        <v>43465</v>
      </c>
      <c r="D136" s="187">
        <v>40</v>
      </c>
      <c r="E136" s="14">
        <v>16945.82</v>
      </c>
      <c r="F136" s="14"/>
      <c r="G136" s="14">
        <v>249.95</v>
      </c>
      <c r="H136" s="43">
        <f t="shared" si="2"/>
        <v>17195.77</v>
      </c>
      <c r="I136" s="43">
        <f t="shared" si="1"/>
        <v>17195.77</v>
      </c>
      <c r="J136" s="72"/>
      <c r="K136" s="14"/>
    </row>
    <row r="137" spans="1:11" ht="27.75" customHeight="1" outlineLevel="1" x14ac:dyDescent="0.2">
      <c r="A137" s="17" t="s">
        <v>723</v>
      </c>
      <c r="B137" s="89">
        <v>43280</v>
      </c>
      <c r="C137" s="90">
        <v>43465</v>
      </c>
      <c r="D137" s="187">
        <v>40</v>
      </c>
      <c r="E137" s="14">
        <v>16945.82</v>
      </c>
      <c r="F137" s="14"/>
      <c r="G137" s="14">
        <v>249.95</v>
      </c>
      <c r="H137" s="43">
        <f t="shared" si="2"/>
        <v>17195.77</v>
      </c>
      <c r="I137" s="43">
        <f t="shared" si="1"/>
        <v>17195.77</v>
      </c>
      <c r="J137" s="72"/>
      <c r="K137" s="14"/>
    </row>
    <row r="138" spans="1:11" ht="27.75" customHeight="1" outlineLevel="1" x14ac:dyDescent="0.2">
      <c r="A138" s="17" t="s">
        <v>739</v>
      </c>
      <c r="B138" s="89">
        <v>43281</v>
      </c>
      <c r="C138" s="90">
        <v>43465</v>
      </c>
      <c r="D138" s="187">
        <v>40</v>
      </c>
      <c r="E138" s="14"/>
      <c r="F138" s="14"/>
      <c r="G138" s="14">
        <f>10410.31+593.75</f>
        <v>11004.06</v>
      </c>
      <c r="H138" s="43">
        <f t="shared" si="2"/>
        <v>11004.06</v>
      </c>
      <c r="I138" s="43">
        <f t="shared" si="1"/>
        <v>11004.06</v>
      </c>
      <c r="J138" s="72"/>
      <c r="K138" s="14"/>
    </row>
    <row r="139" spans="1:11" ht="27.75" customHeight="1" outlineLevel="1" x14ac:dyDescent="0.2">
      <c r="A139" s="17" t="s">
        <v>740</v>
      </c>
      <c r="B139" s="89">
        <v>43281</v>
      </c>
      <c r="C139" s="90">
        <v>43465</v>
      </c>
      <c r="D139" s="187">
        <v>40</v>
      </c>
      <c r="E139" s="14"/>
      <c r="F139" s="14"/>
      <c r="G139" s="14">
        <f>10410.31+593.75</f>
        <v>11004.06</v>
      </c>
      <c r="H139" s="43">
        <f t="shared" ref="H139:H141" si="3">F139+E139+G139</f>
        <v>11004.06</v>
      </c>
      <c r="I139" s="43">
        <f t="shared" si="1"/>
        <v>11004.06</v>
      </c>
      <c r="J139" s="72"/>
      <c r="K139" s="14"/>
    </row>
    <row r="140" spans="1:11" ht="27.75" customHeight="1" outlineLevel="1" x14ac:dyDescent="0.2">
      <c r="A140" s="17" t="s">
        <v>741</v>
      </c>
      <c r="B140" s="89">
        <v>43281</v>
      </c>
      <c r="C140" s="90">
        <v>43465</v>
      </c>
      <c r="D140" s="187">
        <v>40</v>
      </c>
      <c r="E140" s="14"/>
      <c r="F140" s="14"/>
      <c r="G140" s="14">
        <f>9955.91+593.75</f>
        <v>10549.66</v>
      </c>
      <c r="H140" s="43">
        <f t="shared" si="3"/>
        <v>10549.66</v>
      </c>
      <c r="I140" s="43">
        <f t="shared" si="1"/>
        <v>10549.66</v>
      </c>
      <c r="J140" s="72"/>
      <c r="K140" s="14"/>
    </row>
    <row r="141" spans="1:11" ht="27.75" customHeight="1" outlineLevel="1" x14ac:dyDescent="0.2">
      <c r="A141" s="17" t="s">
        <v>742</v>
      </c>
      <c r="B141" s="89">
        <v>43281</v>
      </c>
      <c r="C141" s="90">
        <v>43465</v>
      </c>
      <c r="D141" s="187">
        <v>40</v>
      </c>
      <c r="E141" s="14"/>
      <c r="F141" s="14"/>
      <c r="G141" s="14">
        <v>7952.25</v>
      </c>
      <c r="H141" s="43">
        <f t="shared" si="3"/>
        <v>7952.25</v>
      </c>
      <c r="I141" s="43">
        <f t="shared" si="1"/>
        <v>7952.25</v>
      </c>
      <c r="J141" s="72"/>
      <c r="K141" s="14"/>
    </row>
    <row r="142" spans="1:11" ht="31.5" customHeight="1" outlineLevel="1" x14ac:dyDescent="0.2">
      <c r="A142" s="17" t="s">
        <v>174</v>
      </c>
      <c r="B142" s="89">
        <v>43069</v>
      </c>
      <c r="C142" s="89">
        <v>43464</v>
      </c>
      <c r="D142" s="187">
        <v>50</v>
      </c>
      <c r="E142" s="14">
        <v>59359.05</v>
      </c>
      <c r="F142" s="14">
        <v>875.54</v>
      </c>
      <c r="G142" s="14">
        <v>584.1</v>
      </c>
      <c r="H142" s="43">
        <f>F142+E142+G142</f>
        <v>60818.69</v>
      </c>
      <c r="I142" s="43">
        <f t="shared" ref="I142" si="4">H142</f>
        <v>60818.69</v>
      </c>
      <c r="J142" s="72"/>
      <c r="K142" s="14"/>
    </row>
    <row r="143" spans="1:11" ht="12.75" x14ac:dyDescent="0.2">
      <c r="A143" s="17"/>
      <c r="B143" s="89"/>
      <c r="C143" s="89"/>
      <c r="D143" s="130"/>
      <c r="E143" s="58">
        <f>SUM(E11:E142)</f>
        <v>28306713.949999943</v>
      </c>
      <c r="F143" s="58">
        <f>SUM(F11:F142)</f>
        <v>40665118.100000009</v>
      </c>
      <c r="G143" s="58">
        <f>SUM(G11:G142)</f>
        <v>2249384.7900000103</v>
      </c>
      <c r="H143" s="48">
        <f>SUM(H11:H142)</f>
        <v>71221216.840000108</v>
      </c>
      <c r="I143" s="48">
        <f>SUM(I11:I142)</f>
        <v>71221216.840000108</v>
      </c>
      <c r="J143" s="14"/>
      <c r="K143" s="116"/>
    </row>
    <row r="144" spans="1:11" ht="19.5" customHeight="1" x14ac:dyDescent="0.2">
      <c r="A144" s="19" t="s">
        <v>27</v>
      </c>
      <c r="B144" s="89"/>
      <c r="C144" s="89"/>
      <c r="D144" s="130"/>
      <c r="E144" s="14"/>
      <c r="F144" s="14"/>
      <c r="G144" s="14"/>
      <c r="H144" s="48"/>
      <c r="I144" s="48"/>
      <c r="J144" s="14"/>
      <c r="K144" s="39"/>
    </row>
    <row r="145" spans="1:11" ht="34.5" customHeight="1" outlineLevel="1" x14ac:dyDescent="0.2">
      <c r="A145" s="17" t="s">
        <v>51</v>
      </c>
      <c r="B145" s="89">
        <v>42674</v>
      </c>
      <c r="C145" s="90">
        <v>43830</v>
      </c>
      <c r="D145" s="187">
        <v>45</v>
      </c>
      <c r="E145" s="14">
        <f>1828699.62+460300.38</f>
        <v>2289000</v>
      </c>
      <c r="F145" s="14"/>
      <c r="G145" s="14">
        <f>41142.03+500290.27+1442043.48</f>
        <v>1983475.78</v>
      </c>
      <c r="H145" s="43">
        <f>F145+E145+G145</f>
        <v>4272475.78</v>
      </c>
      <c r="I145" s="43">
        <f>H145</f>
        <v>4272475.78</v>
      </c>
      <c r="J145" s="18"/>
      <c r="K145" s="14"/>
    </row>
    <row r="146" spans="1:11" s="5" customFormat="1" outlineLevel="1" x14ac:dyDescent="0.2">
      <c r="A146" s="17" t="s">
        <v>4</v>
      </c>
      <c r="B146" s="89">
        <v>40908</v>
      </c>
      <c r="C146" s="90">
        <v>43373</v>
      </c>
      <c r="D146" s="187">
        <v>95</v>
      </c>
      <c r="E146" s="14">
        <f>13200000+2707301.99+580136.14+62000</f>
        <v>16549438.130000001</v>
      </c>
      <c r="F146" s="14">
        <f>40759382.84+14620266.69+41145419.04+277511.54+14953901.94</f>
        <v>111756482.05</v>
      </c>
      <c r="G146" s="59">
        <f>3653177.36+149326.33+99169.94+99169.94+100259.74+40218.8+5670.35+315.02+1599546.72+574503.27+386757.42+1265094.34+30524.47-69396.41+193378.72+2216140.44+15087.83+2882017.28+15439.49</f>
        <v>13256401.049999999</v>
      </c>
      <c r="H146" s="43">
        <f t="shared" ref="H146:H164" si="5">F146+E146+G146</f>
        <v>141562321.22999999</v>
      </c>
      <c r="I146" s="43">
        <f>H146</f>
        <v>141562321.22999999</v>
      </c>
      <c r="J146" s="14"/>
      <c r="K146" s="14"/>
    </row>
    <row r="147" spans="1:11" ht="27.75" customHeight="1" outlineLevel="1" x14ac:dyDescent="0.2">
      <c r="A147" s="20" t="s">
        <v>28</v>
      </c>
      <c r="B147" s="90">
        <v>41453</v>
      </c>
      <c r="C147" s="90">
        <v>43830</v>
      </c>
      <c r="D147" s="187">
        <v>95</v>
      </c>
      <c r="E147" s="14">
        <v>29999152.550000001</v>
      </c>
      <c r="F147" s="14">
        <f>95787807.63+19171271.22+47818712.57+16863329.81+82013971.52+76435731.88+16440675+59699933.19</f>
        <v>414231432.81999999</v>
      </c>
      <c r="G147" s="14">
        <f>28393126.87+12138785.06+2762993.51+2432526.53+2463689.24+2238316.11+2460368.89+1787065.04+1720876.28+2746129.26+4105308.63+4445189.4+4023163.85</f>
        <v>71717538.670000002</v>
      </c>
      <c r="H147" s="43">
        <f t="shared" si="5"/>
        <v>515948124.04000002</v>
      </c>
      <c r="I147" s="43">
        <f>H147</f>
        <v>515948124.04000002</v>
      </c>
      <c r="J147" s="14"/>
      <c r="K147" s="14"/>
    </row>
    <row r="148" spans="1:11" ht="27.75" customHeight="1" outlineLevel="1" x14ac:dyDescent="0.2">
      <c r="A148" s="17" t="s">
        <v>87</v>
      </c>
      <c r="B148" s="89">
        <v>42674</v>
      </c>
      <c r="C148" s="90">
        <v>43435</v>
      </c>
      <c r="D148" s="187">
        <v>100</v>
      </c>
      <c r="E148" s="14">
        <f>3236678.76+578321.24</f>
        <v>3815000</v>
      </c>
      <c r="F148" s="14">
        <f>294183.02+5483864.8+2218832.83</f>
        <v>7996880.6500000004</v>
      </c>
      <c r="G148" s="14">
        <f>56271.25+117025.97+0.53+340.1+45584.35+1959.16+160910.5+1441.94</f>
        <v>383533.8</v>
      </c>
      <c r="H148" s="43">
        <f t="shared" si="5"/>
        <v>12195414.450000001</v>
      </c>
      <c r="I148" s="43">
        <f>H148</f>
        <v>12195414.450000001</v>
      </c>
      <c r="J148" s="18"/>
      <c r="K148" s="14"/>
    </row>
    <row r="149" spans="1:11" ht="12.75" customHeight="1" outlineLevel="1" x14ac:dyDescent="0.2">
      <c r="A149" s="20" t="s">
        <v>175</v>
      </c>
      <c r="B149" s="90">
        <v>43039</v>
      </c>
      <c r="C149" s="90">
        <v>44196</v>
      </c>
      <c r="D149" s="187">
        <v>40</v>
      </c>
      <c r="E149" s="14">
        <f>3227106.13+248810.97+774558.62</f>
        <v>4250475.72</v>
      </c>
      <c r="F149" s="14"/>
      <c r="G149" s="14">
        <f>62694.52+4375.83+77241+89717.16+103097.2</f>
        <v>337125.70999999996</v>
      </c>
      <c r="H149" s="43">
        <f t="shared" si="5"/>
        <v>4587601.43</v>
      </c>
      <c r="I149" s="43">
        <f>H149</f>
        <v>4587601.43</v>
      </c>
      <c r="J149" s="14"/>
      <c r="K149" s="14"/>
    </row>
    <row r="150" spans="1:11" ht="12.75" customHeight="1" outlineLevel="1" x14ac:dyDescent="0.2">
      <c r="A150" s="20" t="s">
        <v>1090</v>
      </c>
      <c r="B150" s="89">
        <v>42654</v>
      </c>
      <c r="C150" s="90">
        <v>44196</v>
      </c>
      <c r="D150" s="187">
        <v>40</v>
      </c>
      <c r="E150" s="14">
        <f>10164299.64+852649.51</f>
        <v>11016949.15</v>
      </c>
      <c r="F150" s="14"/>
      <c r="G150" s="59">
        <f>162500+37464.63+66355.04+330510.14+325192.48+328677.01+1652542.5+330307.52+550847.5+370629.32+393204.71+335377.35</f>
        <v>4883608.1999999993</v>
      </c>
      <c r="H150" s="43">
        <f t="shared" si="5"/>
        <v>15900557.35</v>
      </c>
      <c r="I150" s="43">
        <f t="shared" ref="I150:I165" si="6">H150</f>
        <v>15900557.35</v>
      </c>
      <c r="J150" s="74"/>
      <c r="K150" s="14"/>
    </row>
    <row r="151" spans="1:11" ht="12" customHeight="1" outlineLevel="1" x14ac:dyDescent="0.2">
      <c r="A151" s="17" t="s">
        <v>6</v>
      </c>
      <c r="B151" s="89">
        <v>40908</v>
      </c>
      <c r="C151" s="90">
        <v>45291</v>
      </c>
      <c r="D151" s="187">
        <v>40</v>
      </c>
      <c r="E151" s="59">
        <v>16052542.369999999</v>
      </c>
      <c r="F151" s="14"/>
      <c r="G151" s="59">
        <f>5805556.4+306688.84+239437.02+239437+242068.17+131184.75+78873.25</f>
        <v>7043245.4299999997</v>
      </c>
      <c r="H151" s="43">
        <f t="shared" si="5"/>
        <v>23095787.799999997</v>
      </c>
      <c r="I151" s="43">
        <f t="shared" si="6"/>
        <v>23095787.799999997</v>
      </c>
      <c r="J151" s="74"/>
      <c r="K151" s="14"/>
    </row>
    <row r="152" spans="1:11" outlineLevel="1" x14ac:dyDescent="0.2">
      <c r="A152" s="21" t="s">
        <v>88</v>
      </c>
      <c r="B152" s="89">
        <v>42947</v>
      </c>
      <c r="C152" s="90">
        <v>43344</v>
      </c>
      <c r="D152" s="130">
        <v>95</v>
      </c>
      <c r="E152" s="59">
        <v>2634906.98</v>
      </c>
      <c r="F152" s="14">
        <f>21372055.22+453041</f>
        <v>21825096.219999999</v>
      </c>
      <c r="G152" s="14">
        <f>38864.88+310776.59+5504.48</f>
        <v>355145.95</v>
      </c>
      <c r="H152" s="43">
        <f>F152+E152+G152</f>
        <v>24815149.149999999</v>
      </c>
      <c r="I152" s="43">
        <f>H152</f>
        <v>24815149.149999999</v>
      </c>
      <c r="J152" s="18"/>
      <c r="K152" s="14"/>
    </row>
    <row r="153" spans="1:11" ht="24" outlineLevel="1" x14ac:dyDescent="0.2">
      <c r="A153" s="17" t="s">
        <v>176</v>
      </c>
      <c r="B153" s="89">
        <v>43039</v>
      </c>
      <c r="C153" s="89">
        <v>43738</v>
      </c>
      <c r="D153" s="187">
        <v>40</v>
      </c>
      <c r="E153" s="59">
        <f>4525233.81+390809.21</f>
        <v>4916043.0199999996</v>
      </c>
      <c r="F153" s="14">
        <v>1340067.9099999999</v>
      </c>
      <c r="G153" s="14">
        <f>92277.64+9434.01+112911.81+125806.59+142762.4</f>
        <v>483192.44999999995</v>
      </c>
      <c r="H153" s="43">
        <f t="shared" si="5"/>
        <v>6739303.3799999999</v>
      </c>
      <c r="I153" s="43">
        <f t="shared" si="6"/>
        <v>6739303.3799999999</v>
      </c>
      <c r="J153" s="18"/>
      <c r="K153" s="14"/>
    </row>
    <row r="154" spans="1:11" outlineLevel="1" x14ac:dyDescent="0.2">
      <c r="A154" s="21" t="s">
        <v>193</v>
      </c>
      <c r="B154" s="89">
        <v>43039</v>
      </c>
      <c r="C154" s="89">
        <v>43738</v>
      </c>
      <c r="D154" s="187">
        <v>40</v>
      </c>
      <c r="E154" s="14">
        <f>858516.91+4568150.05</f>
        <v>5426666.96</v>
      </c>
      <c r="F154" s="14"/>
      <c r="G154" s="14">
        <f>55924.56+12663.12+772.8+139405.06</f>
        <v>208765.53999999998</v>
      </c>
      <c r="H154" s="43">
        <f t="shared" si="5"/>
        <v>5635432.5</v>
      </c>
      <c r="I154" s="43">
        <f>H154</f>
        <v>5635432.5</v>
      </c>
      <c r="J154" s="18"/>
      <c r="K154" s="14"/>
    </row>
    <row r="155" spans="1:11" ht="28.5" customHeight="1" outlineLevel="1" x14ac:dyDescent="0.2">
      <c r="A155" s="17" t="s">
        <v>7</v>
      </c>
      <c r="B155" s="89">
        <v>40908</v>
      </c>
      <c r="C155" s="90">
        <v>43435</v>
      </c>
      <c r="D155" s="187">
        <v>95</v>
      </c>
      <c r="E155" s="14">
        <f>9900000+1430025.49+306434.03+13689058.87</f>
        <v>25325518.390000001</v>
      </c>
      <c r="F155" s="14">
        <f>50041.23+214120.58+14712583.22+1415.9</f>
        <v>14978160.930000002</v>
      </c>
      <c r="G155" s="59">
        <f>3317700.86+173314.33+134628.77+134628.77+136108.24+78329.93+50195.3+2788.63+30132.68+349086.47+13454.42+312909.56+42238.9+355965.85+6794.44+491309.27+7023.46</f>
        <v>5636609.8799999999</v>
      </c>
      <c r="H155" s="43">
        <f t="shared" si="5"/>
        <v>45940289.200000003</v>
      </c>
      <c r="I155" s="43">
        <f t="shared" si="6"/>
        <v>45940289.200000003</v>
      </c>
      <c r="J155" s="14"/>
      <c r="K155" s="14"/>
    </row>
    <row r="156" spans="1:11" ht="30" customHeight="1" outlineLevel="1" x14ac:dyDescent="0.2">
      <c r="A156" s="17" t="s">
        <v>8</v>
      </c>
      <c r="B156" s="89">
        <v>40908</v>
      </c>
      <c r="C156" s="90">
        <v>43435</v>
      </c>
      <c r="D156" s="187">
        <v>95</v>
      </c>
      <c r="E156" s="14">
        <f>9900000+2653796.74+568670.73</f>
        <v>13122467.470000001</v>
      </c>
      <c r="F156" s="14">
        <f>86834.66+20398314.81+332450.37+12301455.22+310352.73</f>
        <v>33429407.790000003</v>
      </c>
      <c r="G156" s="59">
        <f>3304642.14+173314.33+134628.75+134628.76+136108.23+78329.94+50195.3+2788.63+493418.86+25085.57+379113.82+78146.41+189556.92+472398.84+13154.93+735643.32+13598.35</f>
        <v>6414753.1000000006</v>
      </c>
      <c r="H156" s="43">
        <f t="shared" si="5"/>
        <v>52966628.360000007</v>
      </c>
      <c r="I156" s="43">
        <f t="shared" si="6"/>
        <v>52966628.360000007</v>
      </c>
      <c r="J156" s="74"/>
      <c r="K156" s="14"/>
    </row>
    <row r="157" spans="1:11" ht="12.75" customHeight="1" outlineLevel="1" x14ac:dyDescent="0.2">
      <c r="A157" s="17" t="s">
        <v>177</v>
      </c>
      <c r="B157" s="89">
        <v>43039</v>
      </c>
      <c r="C157" s="90">
        <v>43738</v>
      </c>
      <c r="D157" s="187">
        <v>40</v>
      </c>
      <c r="E157" s="14">
        <f>8752097.25+872320.58+2841008.25</f>
        <v>12465426.08</v>
      </c>
      <c r="F157" s="14"/>
      <c r="G157" s="59">
        <f>183865.03+19876.27+220078.57+43.6+243318.14+112.81+268076.7+114.05</f>
        <v>935485.17000000016</v>
      </c>
      <c r="H157" s="43">
        <f t="shared" si="5"/>
        <v>13400911.25</v>
      </c>
      <c r="I157" s="43">
        <f t="shared" si="6"/>
        <v>13400911.25</v>
      </c>
      <c r="J157" s="74"/>
      <c r="K157" s="14"/>
    </row>
    <row r="158" spans="1:11" ht="33.75" customHeight="1" outlineLevel="1" x14ac:dyDescent="0.2">
      <c r="A158" s="17" t="s">
        <v>178</v>
      </c>
      <c r="B158" s="89">
        <v>43039</v>
      </c>
      <c r="C158" s="90">
        <v>43738</v>
      </c>
      <c r="D158" s="187">
        <v>40</v>
      </c>
      <c r="E158" s="14">
        <f>5391651.3+588191.77+1691052.67</f>
        <v>7670895.7400000002</v>
      </c>
      <c r="F158" s="14"/>
      <c r="G158" s="59">
        <f>113145.72+11694.11+134720.55+149893.95+166432.54</f>
        <v>575886.87</v>
      </c>
      <c r="H158" s="43">
        <f t="shared" si="5"/>
        <v>8246782.6100000003</v>
      </c>
      <c r="I158" s="43">
        <f t="shared" si="6"/>
        <v>8246782.6100000003</v>
      </c>
      <c r="J158" s="74"/>
      <c r="K158" s="14"/>
    </row>
    <row r="159" spans="1:11" ht="21.75" customHeight="1" outlineLevel="1" x14ac:dyDescent="0.2">
      <c r="A159" s="21" t="s">
        <v>179</v>
      </c>
      <c r="B159" s="89">
        <v>43039</v>
      </c>
      <c r="C159" s="90">
        <v>43738</v>
      </c>
      <c r="D159" s="187">
        <v>40</v>
      </c>
      <c r="E159" s="14">
        <f>3891105.89+1473325.78</f>
        <v>5364431.67</v>
      </c>
      <c r="F159" s="14"/>
      <c r="G159" s="14">
        <f>79125.37+5922.67+93589.94+114919.09+150112.98</f>
        <v>443670.04999999993</v>
      </c>
      <c r="H159" s="43">
        <f t="shared" si="5"/>
        <v>5808101.7199999997</v>
      </c>
      <c r="I159" s="43">
        <f t="shared" si="6"/>
        <v>5808101.7199999997</v>
      </c>
      <c r="J159" s="14"/>
      <c r="K159" s="14"/>
    </row>
    <row r="160" spans="1:11" outlineLevel="1" x14ac:dyDescent="0.2">
      <c r="A160" s="17" t="s">
        <v>58</v>
      </c>
      <c r="B160" s="89">
        <v>42674</v>
      </c>
      <c r="C160" s="90">
        <v>43800</v>
      </c>
      <c r="D160" s="187">
        <v>90</v>
      </c>
      <c r="E160" s="14">
        <f>11733575.24+826526.46</f>
        <v>12560101.699999999</v>
      </c>
      <c r="F160" s="14">
        <f>36110025.12+21322447.9+177494.69+5559114.93</f>
        <v>63169082.639999993</v>
      </c>
      <c r="G160" s="59">
        <f>185261.5+887000+887000+1029096.98+1028750+576035.37+6521.23-13042.46+1158323.03+20087.76+1677449.27+7606.05</f>
        <v>7450088.7299999995</v>
      </c>
      <c r="H160" s="43">
        <f t="shared" si="5"/>
        <v>83179273.069999993</v>
      </c>
      <c r="I160" s="43">
        <f>H160</f>
        <v>83179273.069999993</v>
      </c>
      <c r="J160" s="18"/>
      <c r="K160" s="14"/>
    </row>
    <row r="161" spans="1:40" ht="21.75" customHeight="1" outlineLevel="1" x14ac:dyDescent="0.2">
      <c r="A161" s="21" t="s">
        <v>180</v>
      </c>
      <c r="B161" s="89">
        <v>43039</v>
      </c>
      <c r="C161" s="90">
        <v>43738</v>
      </c>
      <c r="D161" s="187">
        <v>40</v>
      </c>
      <c r="E161" s="14">
        <f>4087714.31+1467874.08</f>
        <v>5555588.3900000006</v>
      </c>
      <c r="F161" s="14"/>
      <c r="G161" s="14">
        <f>81944.93+7499.24+100966.17+119648.88+155496.41</f>
        <v>465555.63</v>
      </c>
      <c r="H161" s="43">
        <f t="shared" si="5"/>
        <v>6021144.0200000005</v>
      </c>
      <c r="I161" s="43">
        <f t="shared" si="6"/>
        <v>6021144.0200000005</v>
      </c>
      <c r="J161" s="14"/>
      <c r="K161" s="14"/>
    </row>
    <row r="162" spans="1:40" ht="21.75" customHeight="1" outlineLevel="1" x14ac:dyDescent="0.2">
      <c r="A162" s="21" t="s">
        <v>181</v>
      </c>
      <c r="B162" s="89">
        <v>43039</v>
      </c>
      <c r="C162" s="90">
        <v>43738</v>
      </c>
      <c r="D162" s="187">
        <v>40</v>
      </c>
      <c r="E162" s="14">
        <f>4777548.47+1788138.79</f>
        <v>6565687.2599999998</v>
      </c>
      <c r="F162" s="14"/>
      <c r="G162" s="14">
        <f>9737.68+96843.88+118362.66+140384.2+183744.22</f>
        <v>549072.64000000001</v>
      </c>
      <c r="H162" s="43">
        <f t="shared" si="5"/>
        <v>7114759.8999999994</v>
      </c>
      <c r="I162" s="43">
        <f t="shared" si="6"/>
        <v>7114759.8999999994</v>
      </c>
      <c r="J162" s="14"/>
      <c r="K162" s="14"/>
    </row>
    <row r="163" spans="1:40" ht="21.75" customHeight="1" outlineLevel="1" x14ac:dyDescent="0.2">
      <c r="A163" s="21" t="s">
        <v>182</v>
      </c>
      <c r="B163" s="89">
        <v>43039</v>
      </c>
      <c r="C163" s="90">
        <v>44196</v>
      </c>
      <c r="D163" s="187">
        <v>40</v>
      </c>
      <c r="E163" s="14">
        <f>4951790.67+385811.66+1357511.5</f>
        <v>6695113.8300000001</v>
      </c>
      <c r="F163" s="14"/>
      <c r="G163" s="14">
        <f>98752.93+11167.41+124002.03+137665.32+159627.92</f>
        <v>531215.61</v>
      </c>
      <c r="H163" s="43">
        <f t="shared" si="5"/>
        <v>7226329.4400000004</v>
      </c>
      <c r="I163" s="43">
        <f t="shared" si="6"/>
        <v>7226329.4400000004</v>
      </c>
      <c r="J163" s="14"/>
      <c r="K163" s="14"/>
    </row>
    <row r="164" spans="1:40" ht="12.75" customHeight="1" outlineLevel="1" x14ac:dyDescent="0.2">
      <c r="A164" s="21" t="s">
        <v>183</v>
      </c>
      <c r="B164" s="89">
        <v>43039</v>
      </c>
      <c r="C164" s="90">
        <v>43738</v>
      </c>
      <c r="D164" s="187">
        <v>40</v>
      </c>
      <c r="E164" s="14">
        <f>3684594.83+1263274.1</f>
        <v>4947868.93</v>
      </c>
      <c r="F164" s="14"/>
      <c r="G164" s="14">
        <f>72981.07+9433.4+93652.26+109618.26+50.42+138503.63+21894.98</f>
        <v>446134.01999999996</v>
      </c>
      <c r="H164" s="43">
        <f t="shared" si="5"/>
        <v>5394002.9499999993</v>
      </c>
      <c r="I164" s="43">
        <f t="shared" si="6"/>
        <v>5394002.9499999993</v>
      </c>
      <c r="J164" s="14"/>
      <c r="K164" s="14"/>
    </row>
    <row r="165" spans="1:40" ht="12.75" x14ac:dyDescent="0.2">
      <c r="A165" s="17"/>
      <c r="B165" s="89"/>
      <c r="C165" s="89"/>
      <c r="D165" s="130"/>
      <c r="E165" s="58">
        <f>SUM(E145:E164)</f>
        <v>197223274.34</v>
      </c>
      <c r="F165" s="58">
        <f>SUM(F145:F164)</f>
        <v>668726611.00999987</v>
      </c>
      <c r="G165" s="58">
        <f>SUM(G145:G164)</f>
        <v>124100504.27999999</v>
      </c>
      <c r="H165" s="48">
        <f>SUM(H145:H164)</f>
        <v>990050389.63</v>
      </c>
      <c r="I165" s="48">
        <f t="shared" si="6"/>
        <v>990050389.63</v>
      </c>
      <c r="J165" s="14"/>
      <c r="K165" s="116"/>
    </row>
    <row r="166" spans="1:40" ht="24.75" customHeight="1" x14ac:dyDescent="0.2">
      <c r="A166" s="19" t="s">
        <v>31</v>
      </c>
      <c r="B166" s="89"/>
      <c r="C166" s="90"/>
      <c r="D166" s="187"/>
      <c r="E166" s="14"/>
      <c r="F166" s="14"/>
      <c r="G166" s="14"/>
      <c r="H166" s="43"/>
      <c r="I166" s="43"/>
      <c r="J166" s="14"/>
      <c r="K166" s="14"/>
    </row>
    <row r="167" spans="1:40" ht="25.5" customHeight="1" outlineLevel="2" x14ac:dyDescent="0.2">
      <c r="A167" s="17" t="s">
        <v>23</v>
      </c>
      <c r="B167" s="89">
        <v>41631</v>
      </c>
      <c r="C167" s="90">
        <v>43465</v>
      </c>
      <c r="D167" s="187">
        <v>50</v>
      </c>
      <c r="E167" s="14">
        <v>1016949.15</v>
      </c>
      <c r="F167" s="14"/>
      <c r="G167" s="14">
        <v>66915.25</v>
      </c>
      <c r="H167" s="43">
        <f t="shared" ref="H167:H187" si="7">F167+E167+G167</f>
        <v>1083864.3999999999</v>
      </c>
      <c r="I167" s="43">
        <f t="shared" ref="I167:I227" si="8">H167</f>
        <v>1083864.3999999999</v>
      </c>
      <c r="J167" s="18"/>
      <c r="K167" s="14"/>
    </row>
    <row r="168" spans="1:40" s="7" customFormat="1" ht="15" customHeight="1" outlineLevel="2" x14ac:dyDescent="0.2">
      <c r="A168" s="21" t="s">
        <v>33</v>
      </c>
      <c r="B168" s="90">
        <v>35034</v>
      </c>
      <c r="C168" s="89">
        <v>43465</v>
      </c>
      <c r="D168" s="187">
        <v>85</v>
      </c>
      <c r="E168" s="60"/>
      <c r="F168" s="60">
        <v>950879.5</v>
      </c>
      <c r="G168" s="60">
        <v>4314199.24</v>
      </c>
      <c r="H168" s="43">
        <f t="shared" si="7"/>
        <v>5265078.74</v>
      </c>
      <c r="I168" s="43">
        <f t="shared" si="8"/>
        <v>5265078.74</v>
      </c>
      <c r="J168" s="18"/>
      <c r="K168" s="1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6"/>
    </row>
    <row r="169" spans="1:40" ht="15" customHeight="1" outlineLevel="2" x14ac:dyDescent="0.2">
      <c r="A169" s="21" t="s">
        <v>184</v>
      </c>
      <c r="B169" s="90">
        <v>43039</v>
      </c>
      <c r="C169" s="90">
        <v>43830</v>
      </c>
      <c r="D169" s="187">
        <v>30</v>
      </c>
      <c r="E169" s="60">
        <f>1961349.58+397295.9+366561</f>
        <v>2725206.48</v>
      </c>
      <c r="F169" s="60"/>
      <c r="G169" s="60">
        <f>34790.02+5406.77</f>
        <v>40196.789999999994</v>
      </c>
      <c r="H169" s="43">
        <f t="shared" si="7"/>
        <v>2765403.27</v>
      </c>
      <c r="I169" s="43">
        <f t="shared" si="8"/>
        <v>2765403.27</v>
      </c>
      <c r="J169" s="18"/>
      <c r="K169" s="14"/>
    </row>
    <row r="170" spans="1:40" ht="24" outlineLevel="2" x14ac:dyDescent="0.2">
      <c r="A170" s="21" t="s">
        <v>59</v>
      </c>
      <c r="B170" s="89">
        <v>42674</v>
      </c>
      <c r="C170" s="90">
        <v>43404</v>
      </c>
      <c r="D170" s="187">
        <v>90</v>
      </c>
      <c r="E170" s="14">
        <f>302749.7+120979.12</f>
        <v>423728.82</v>
      </c>
      <c r="F170" s="14">
        <f>7745.19+2134560.69</f>
        <v>2142305.88</v>
      </c>
      <c r="G170" s="14">
        <f>36631+7330.62+14652.4+21978.6+55000</f>
        <v>135592.62</v>
      </c>
      <c r="H170" s="43">
        <f t="shared" si="7"/>
        <v>2701627.32</v>
      </c>
      <c r="I170" s="43">
        <f>H170</f>
        <v>2701627.32</v>
      </c>
      <c r="J170" s="18"/>
      <c r="K170" s="14"/>
    </row>
    <row r="171" spans="1:40" ht="24" outlineLevel="2" x14ac:dyDescent="0.2">
      <c r="A171" s="21" t="s">
        <v>61</v>
      </c>
      <c r="B171" s="89">
        <v>42674</v>
      </c>
      <c r="C171" s="90">
        <v>43463</v>
      </c>
      <c r="D171" s="187">
        <v>90</v>
      </c>
      <c r="E171" s="14">
        <f>527654.09+267345.91</f>
        <v>795000</v>
      </c>
      <c r="F171" s="14">
        <f>45528.33+2016001.28+3770672.36</f>
        <v>5832201.9699999997</v>
      </c>
      <c r="G171" s="14">
        <f>13901.48+73736.57+73736.57+32991.44+910.13+1166.96+1179.93+1192.89</f>
        <v>198815.97</v>
      </c>
      <c r="H171" s="43">
        <f t="shared" si="7"/>
        <v>6826017.9399999995</v>
      </c>
      <c r="I171" s="43">
        <f t="shared" ref="I171:I178" si="9">H171</f>
        <v>6826017.9399999995</v>
      </c>
      <c r="J171" s="18"/>
      <c r="K171" s="14"/>
    </row>
    <row r="172" spans="1:40" ht="24" outlineLevel="2" x14ac:dyDescent="0.2">
      <c r="A172" s="21" t="s">
        <v>62</v>
      </c>
      <c r="B172" s="89">
        <v>42674</v>
      </c>
      <c r="C172" s="90">
        <v>43463</v>
      </c>
      <c r="D172" s="187">
        <v>90</v>
      </c>
      <c r="E172" s="14">
        <f>532231.68+230480.19</f>
        <v>762711.87000000011</v>
      </c>
      <c r="F172" s="14">
        <v>22321.93</v>
      </c>
      <c r="G172" s="59">
        <f>19672.97+73672.55+73672.54+6959.85+244.01+575.91+411.71+343.91</f>
        <v>175553.45</v>
      </c>
      <c r="H172" s="43">
        <f t="shared" si="7"/>
        <v>960587.25000000023</v>
      </c>
      <c r="I172" s="43">
        <f t="shared" si="9"/>
        <v>960587.25000000023</v>
      </c>
      <c r="J172" s="18"/>
      <c r="K172" s="14"/>
    </row>
    <row r="173" spans="1:40" ht="24" outlineLevel="2" x14ac:dyDescent="0.2">
      <c r="A173" s="21" t="s">
        <v>63</v>
      </c>
      <c r="B173" s="89">
        <v>42674</v>
      </c>
      <c r="C173" s="90">
        <v>43463</v>
      </c>
      <c r="D173" s="187">
        <v>90</v>
      </c>
      <c r="E173" s="14">
        <f>527874.76+267125.24</f>
        <v>795000</v>
      </c>
      <c r="F173" s="14">
        <f>125405.27+1586833.18+3119059.38</f>
        <v>4831297.83</v>
      </c>
      <c r="G173" s="14">
        <f>11726.25+85839.59+85839.58+28190.91+888.03+1138.63+1151.28+1163.93</f>
        <v>215938.19999999998</v>
      </c>
      <c r="H173" s="43">
        <f t="shared" si="7"/>
        <v>5842236.0300000003</v>
      </c>
      <c r="I173" s="43">
        <f t="shared" si="9"/>
        <v>5842236.0300000003</v>
      </c>
      <c r="J173" s="18"/>
      <c r="K173" s="14"/>
    </row>
    <row r="174" spans="1:40" ht="24" outlineLevel="2" x14ac:dyDescent="0.2">
      <c r="A174" s="21" t="s">
        <v>67</v>
      </c>
      <c r="B174" s="89">
        <v>42674</v>
      </c>
      <c r="C174" s="90">
        <v>43463</v>
      </c>
      <c r="D174" s="187">
        <v>90</v>
      </c>
      <c r="E174" s="14">
        <f>422918.3+89488.48</f>
        <v>512406.77999999997</v>
      </c>
      <c r="F174" s="14">
        <f>21398.27+1103128.72</f>
        <v>1124526.99</v>
      </c>
      <c r="G174" s="14">
        <f>9727.09+73528.68+73528.67+6463.13+195.65+250.86+253.65+256.44</f>
        <v>164204.16999999998</v>
      </c>
      <c r="H174" s="43">
        <f t="shared" si="7"/>
        <v>1801137.94</v>
      </c>
      <c r="I174" s="43">
        <f t="shared" si="9"/>
        <v>1801137.94</v>
      </c>
      <c r="J174" s="18"/>
      <c r="K174" s="14"/>
    </row>
    <row r="175" spans="1:40" ht="24" outlineLevel="2" x14ac:dyDescent="0.2">
      <c r="A175" s="21" t="s">
        <v>60</v>
      </c>
      <c r="B175" s="89">
        <v>42674</v>
      </c>
      <c r="C175" s="90">
        <v>43463</v>
      </c>
      <c r="D175" s="187">
        <v>90</v>
      </c>
      <c r="E175" s="14">
        <f>418074.23+94332.55</f>
        <v>512406.77999999997</v>
      </c>
      <c r="F175" s="14">
        <f>13136.97+935685.09</f>
        <v>948822.05999999994</v>
      </c>
      <c r="G175" s="59">
        <f>9726.81+73518.84+73518.83+13739.61+89.83+115.18+116.46+117.74</f>
        <v>170943.29999999993</v>
      </c>
      <c r="H175" s="43">
        <f t="shared" si="7"/>
        <v>1632172.1399999997</v>
      </c>
      <c r="I175" s="43">
        <f t="shared" si="9"/>
        <v>1632172.1399999997</v>
      </c>
      <c r="J175" s="18"/>
      <c r="K175" s="14"/>
    </row>
    <row r="176" spans="1:40" ht="27.75" customHeight="1" outlineLevel="2" x14ac:dyDescent="0.2">
      <c r="A176" s="21" t="s">
        <v>64</v>
      </c>
      <c r="B176" s="89">
        <v>42674</v>
      </c>
      <c r="C176" s="90">
        <v>43463</v>
      </c>
      <c r="D176" s="187">
        <v>80</v>
      </c>
      <c r="E176" s="14">
        <f>483463.79+194493.84</f>
        <v>677957.63</v>
      </c>
      <c r="F176" s="14">
        <v>75895.13</v>
      </c>
      <c r="G176" s="59">
        <f>12170.95+73595.73+73595.72+32767.25+421.2+540.06+546.06+552.06</f>
        <v>194189.03</v>
      </c>
      <c r="H176" s="43">
        <f t="shared" si="7"/>
        <v>948041.79</v>
      </c>
      <c r="I176" s="43">
        <f t="shared" si="9"/>
        <v>948041.79</v>
      </c>
      <c r="J176" s="18"/>
      <c r="K176" s="14"/>
    </row>
    <row r="177" spans="1:11" ht="24" outlineLevel="2" x14ac:dyDescent="0.2">
      <c r="A177" s="21" t="s">
        <v>65</v>
      </c>
      <c r="B177" s="89">
        <v>42674</v>
      </c>
      <c r="C177" s="90">
        <v>43463</v>
      </c>
      <c r="D177" s="187">
        <v>90</v>
      </c>
      <c r="E177" s="14">
        <f>420276.28+92130.5</f>
        <v>512406.78</v>
      </c>
      <c r="F177" s="14">
        <f>11259.22+1403695.84</f>
        <v>1414955.06</v>
      </c>
      <c r="G177" s="14">
        <f>9728.1+73562.68+73562.68+2344.36+65.52+84.01+84.94+85.88</f>
        <v>159518.16999999998</v>
      </c>
      <c r="H177" s="43">
        <f t="shared" si="7"/>
        <v>2086880.01</v>
      </c>
      <c r="I177" s="43">
        <f t="shared" si="9"/>
        <v>2086880.01</v>
      </c>
      <c r="J177" s="18"/>
      <c r="K177" s="14"/>
    </row>
    <row r="178" spans="1:11" ht="24" outlineLevel="2" x14ac:dyDescent="0.2">
      <c r="A178" s="21" t="s">
        <v>66</v>
      </c>
      <c r="B178" s="89">
        <v>42674</v>
      </c>
      <c r="C178" s="90">
        <v>43463</v>
      </c>
      <c r="D178" s="187">
        <v>90</v>
      </c>
      <c r="E178" s="14">
        <f>482715.08+195242.54</f>
        <v>677957.62</v>
      </c>
      <c r="F178" s="14">
        <v>129839.85</v>
      </c>
      <c r="G178" s="59">
        <f>12168.31+73506.52+73506.52+175138.37-155955.03+340.34+436.38+441.23+446.08</f>
        <v>180028.71999999997</v>
      </c>
      <c r="H178" s="43">
        <f t="shared" si="7"/>
        <v>987826.19</v>
      </c>
      <c r="I178" s="43">
        <f t="shared" si="9"/>
        <v>987826.19</v>
      </c>
      <c r="J178" s="18"/>
      <c r="K178" s="14"/>
    </row>
    <row r="179" spans="1:11" ht="28.5" customHeight="1" outlineLevel="2" x14ac:dyDescent="0.2">
      <c r="A179" s="17" t="s">
        <v>50</v>
      </c>
      <c r="B179" s="89">
        <v>42674</v>
      </c>
      <c r="C179" s="90">
        <v>43800</v>
      </c>
      <c r="D179" s="187">
        <v>60</v>
      </c>
      <c r="E179" s="14">
        <f>4492250.14+84021.05</f>
        <v>4576271.1899999995</v>
      </c>
      <c r="F179" s="14">
        <f>160684.29+25476831.23</f>
        <v>25637515.52</v>
      </c>
      <c r="G179" s="14">
        <f>82245.24+499838.42+499838.41+1110012.92+1584.59-252.86+1488.86+5774.03</f>
        <v>2200529.61</v>
      </c>
      <c r="H179" s="43">
        <f t="shared" si="7"/>
        <v>32414316.32</v>
      </c>
      <c r="I179" s="43">
        <f t="shared" si="8"/>
        <v>32414316.32</v>
      </c>
      <c r="J179" s="18"/>
      <c r="K179" s="14"/>
    </row>
    <row r="180" spans="1:11" ht="12" customHeight="1" outlineLevel="2" x14ac:dyDescent="0.2">
      <c r="A180" s="17" t="s">
        <v>185</v>
      </c>
      <c r="B180" s="89">
        <v>43039</v>
      </c>
      <c r="C180" s="90">
        <v>43465</v>
      </c>
      <c r="D180" s="187">
        <v>60</v>
      </c>
      <c r="E180" s="14">
        <f>7941123.94+717980.71+1810179.43</f>
        <v>10469284.08</v>
      </c>
      <c r="F180" s="14">
        <f>679774.12+1050861.48-676289.52</f>
        <v>1054346.08</v>
      </c>
      <c r="G180" s="14">
        <f>154421.95+3095006.42+57207.88+256702.08</f>
        <v>3563338.33</v>
      </c>
      <c r="H180" s="43">
        <f t="shared" si="7"/>
        <v>15086968.49</v>
      </c>
      <c r="I180" s="43">
        <f>H180</f>
        <v>15086968.49</v>
      </c>
      <c r="J180" s="18"/>
      <c r="K180" s="14"/>
    </row>
    <row r="181" spans="1:11" ht="24" outlineLevel="2" x14ac:dyDescent="0.2">
      <c r="A181" s="21" t="s">
        <v>68</v>
      </c>
      <c r="B181" s="89">
        <v>42674</v>
      </c>
      <c r="C181" s="90">
        <v>43435</v>
      </c>
      <c r="D181" s="187">
        <v>90</v>
      </c>
      <c r="E181" s="14">
        <f>483595.85+194361.78</f>
        <v>677957.63</v>
      </c>
      <c r="F181" s="14">
        <f>192567.69+907939.45</f>
        <v>1100507.1399999999</v>
      </c>
      <c r="G181" s="59">
        <f>12184.1+74041.76+74041.75+16138.39+407.68+522.72+528.53+534.34</f>
        <v>178399.27</v>
      </c>
      <c r="H181" s="43">
        <f t="shared" si="7"/>
        <v>1956864.04</v>
      </c>
      <c r="I181" s="43">
        <f t="shared" ref="I181:I187" si="10">H181</f>
        <v>1956864.04</v>
      </c>
      <c r="J181" s="18"/>
      <c r="K181" s="14"/>
    </row>
    <row r="182" spans="1:11" ht="24" outlineLevel="2" x14ac:dyDescent="0.2">
      <c r="A182" s="21" t="s">
        <v>69</v>
      </c>
      <c r="B182" s="89">
        <v>42674</v>
      </c>
      <c r="C182" s="90">
        <v>43435</v>
      </c>
      <c r="D182" s="187">
        <v>90</v>
      </c>
      <c r="E182" s="14">
        <f>545444.01+217267.86</f>
        <v>762711.87</v>
      </c>
      <c r="F182" s="14">
        <f>80328.39+960046.89+2246732.51</f>
        <v>3287107.79</v>
      </c>
      <c r="G182" s="14">
        <f>13420.12+73563.41+73563.4+17044.39+581.88+746.08+754.37+762.66</f>
        <v>180436.31</v>
      </c>
      <c r="H182" s="43">
        <f t="shared" si="7"/>
        <v>4230255.97</v>
      </c>
      <c r="I182" s="43">
        <f t="shared" si="10"/>
        <v>4230255.97</v>
      </c>
      <c r="J182" s="18"/>
      <c r="K182" s="14"/>
    </row>
    <row r="183" spans="1:11" ht="24" outlineLevel="2" x14ac:dyDescent="0.2">
      <c r="A183" s="21" t="s">
        <v>186</v>
      </c>
      <c r="B183" s="89">
        <v>43039</v>
      </c>
      <c r="C183" s="90">
        <v>43800</v>
      </c>
      <c r="D183" s="187">
        <v>40</v>
      </c>
      <c r="E183" s="14">
        <f>1335706.66+284664.56+340979.02</f>
        <v>1961350.24</v>
      </c>
      <c r="F183" s="14"/>
      <c r="G183" s="14">
        <v>28929.91</v>
      </c>
      <c r="H183" s="43">
        <f t="shared" si="7"/>
        <v>1990280.15</v>
      </c>
      <c r="I183" s="43">
        <f t="shared" si="10"/>
        <v>1990280.15</v>
      </c>
      <c r="J183" s="18"/>
      <c r="K183" s="14"/>
    </row>
    <row r="184" spans="1:11" ht="36" outlineLevel="2" x14ac:dyDescent="0.2">
      <c r="A184" s="21" t="s">
        <v>187</v>
      </c>
      <c r="B184" s="89">
        <v>43039</v>
      </c>
      <c r="C184" s="90">
        <v>43800</v>
      </c>
      <c r="D184" s="187">
        <v>40</v>
      </c>
      <c r="E184" s="14">
        <f>1737186.98+284664.56+206765.78</f>
        <v>2228617.3199999998</v>
      </c>
      <c r="F184" s="14"/>
      <c r="G184" s="14">
        <v>32872.129999999997</v>
      </c>
      <c r="H184" s="43">
        <f t="shared" si="7"/>
        <v>2261489.4499999997</v>
      </c>
      <c r="I184" s="43">
        <f t="shared" si="10"/>
        <v>2261489.4499999997</v>
      </c>
      <c r="J184" s="18"/>
      <c r="K184" s="14"/>
    </row>
    <row r="185" spans="1:11" outlineLevel="2" x14ac:dyDescent="0.2">
      <c r="A185" s="21" t="s">
        <v>188</v>
      </c>
      <c r="B185" s="89">
        <v>43039</v>
      </c>
      <c r="C185" s="90">
        <v>43800</v>
      </c>
      <c r="D185" s="187">
        <v>40</v>
      </c>
      <c r="E185" s="14">
        <f>3709622.22+103039.18+839289.24</f>
        <v>4651950.6400000006</v>
      </c>
      <c r="F185" s="14"/>
      <c r="G185" s="14">
        <v>68616.27</v>
      </c>
      <c r="H185" s="43">
        <f t="shared" si="7"/>
        <v>4720566.91</v>
      </c>
      <c r="I185" s="43">
        <f t="shared" si="10"/>
        <v>4720566.91</v>
      </c>
      <c r="J185" s="18"/>
      <c r="K185" s="14"/>
    </row>
    <row r="186" spans="1:11" ht="36" outlineLevel="2" x14ac:dyDescent="0.2">
      <c r="A186" s="21" t="s">
        <v>189</v>
      </c>
      <c r="B186" s="89">
        <v>43039</v>
      </c>
      <c r="C186" s="90">
        <v>43435</v>
      </c>
      <c r="D186" s="187">
        <v>90</v>
      </c>
      <c r="E186" s="14"/>
      <c r="F186" s="14"/>
      <c r="G186" s="14">
        <v>28972.59</v>
      </c>
      <c r="H186" s="43">
        <f t="shared" si="7"/>
        <v>28972.59</v>
      </c>
      <c r="I186" s="43">
        <f t="shared" si="10"/>
        <v>28972.59</v>
      </c>
      <c r="J186" s="18"/>
      <c r="K186" s="14"/>
    </row>
    <row r="187" spans="1:11" outlineLevel="2" x14ac:dyDescent="0.2">
      <c r="A187" s="21" t="s">
        <v>76</v>
      </c>
      <c r="B187" s="89">
        <v>42674</v>
      </c>
      <c r="C187" s="90">
        <v>43435</v>
      </c>
      <c r="D187" s="187">
        <v>50</v>
      </c>
      <c r="E187" s="14">
        <v>508474.58</v>
      </c>
      <c r="F187" s="14">
        <f>219+3809661.09</f>
        <v>3809880.09</v>
      </c>
      <c r="G187" s="59">
        <f>9670.37+73571.99+73571.9+55977.64</f>
        <v>212791.90000000002</v>
      </c>
      <c r="H187" s="43">
        <f t="shared" si="7"/>
        <v>4531146.57</v>
      </c>
      <c r="I187" s="43">
        <f t="shared" si="10"/>
        <v>4531146.57</v>
      </c>
      <c r="J187" s="18"/>
      <c r="K187" s="14"/>
    </row>
    <row r="188" spans="1:11" outlineLevel="2" x14ac:dyDescent="0.2">
      <c r="A188" s="21" t="s">
        <v>70</v>
      </c>
      <c r="B188" s="89">
        <v>42674</v>
      </c>
      <c r="C188" s="90">
        <v>43435</v>
      </c>
      <c r="D188" s="187">
        <v>90</v>
      </c>
      <c r="E188" s="14">
        <v>423703.39</v>
      </c>
      <c r="F188" s="14">
        <f>12110.1+4130325.97</f>
        <v>4142436.0700000003</v>
      </c>
      <c r="G188" s="59">
        <f>6249.63+60159.78</f>
        <v>66409.41</v>
      </c>
      <c r="H188" s="43">
        <f>F188+E188+G188</f>
        <v>4632548.87</v>
      </c>
      <c r="I188" s="43">
        <f>H188</f>
        <v>4632548.87</v>
      </c>
      <c r="J188" s="18"/>
      <c r="K188" s="14"/>
    </row>
    <row r="189" spans="1:11" ht="24" outlineLevel="2" x14ac:dyDescent="0.2">
      <c r="A189" s="21" t="s">
        <v>77</v>
      </c>
      <c r="B189" s="89">
        <v>42674</v>
      </c>
      <c r="C189" s="90">
        <v>43435</v>
      </c>
      <c r="D189" s="187">
        <v>90</v>
      </c>
      <c r="E189" s="14">
        <v>420578.18</v>
      </c>
      <c r="F189" s="14">
        <f>822.43+790282.06</f>
        <v>791104.49000000011</v>
      </c>
      <c r="G189" s="59">
        <f>9374.84+10873.68</f>
        <v>20248.52</v>
      </c>
      <c r="H189" s="43">
        <f>F189+E189+G189</f>
        <v>1231931.1900000002</v>
      </c>
      <c r="I189" s="43">
        <f>H189</f>
        <v>1231931.1900000002</v>
      </c>
      <c r="J189" s="18"/>
      <c r="K189" s="14"/>
    </row>
    <row r="190" spans="1:11" ht="24" outlineLevel="2" x14ac:dyDescent="0.2">
      <c r="A190" s="21" t="s">
        <v>84</v>
      </c>
      <c r="B190" s="89">
        <v>42675</v>
      </c>
      <c r="C190" s="90">
        <v>43435</v>
      </c>
      <c r="D190" s="187">
        <v>90</v>
      </c>
      <c r="E190" s="14"/>
      <c r="F190" s="14">
        <f>420578.18+1792.21+667132.19</f>
        <v>1089502.58</v>
      </c>
      <c r="G190" s="59">
        <f>9374.84+9075.12</f>
        <v>18449.96</v>
      </c>
      <c r="H190" s="43">
        <f>E190+F190+G190</f>
        <v>1107952.54</v>
      </c>
      <c r="I190" s="43">
        <f t="shared" ref="I190" si="11">H190</f>
        <v>1107952.54</v>
      </c>
      <c r="J190" s="18"/>
      <c r="K190" s="65"/>
    </row>
    <row r="191" spans="1:11" outlineLevel="2" x14ac:dyDescent="0.2">
      <c r="A191" s="17" t="s">
        <v>29</v>
      </c>
      <c r="B191" s="89">
        <v>40711</v>
      </c>
      <c r="C191" s="90">
        <v>44166</v>
      </c>
      <c r="D191" s="130">
        <v>40</v>
      </c>
      <c r="E191" s="14">
        <v>3491000</v>
      </c>
      <c r="F191" s="14">
        <f>8191035.17-8191035.17</f>
        <v>0</v>
      </c>
      <c r="G191" s="14">
        <v>307740</v>
      </c>
      <c r="H191" s="43">
        <f t="shared" ref="H191:H198" si="12">F191+E191+G191</f>
        <v>3798740</v>
      </c>
      <c r="I191" s="43">
        <f t="shared" si="8"/>
        <v>3798740</v>
      </c>
      <c r="J191" s="18"/>
      <c r="K191" s="14"/>
    </row>
    <row r="192" spans="1:11" ht="17.25" customHeight="1" outlineLevel="2" x14ac:dyDescent="0.2">
      <c r="A192" s="17" t="s">
        <v>30</v>
      </c>
      <c r="B192" s="89">
        <v>40711</v>
      </c>
      <c r="C192" s="89">
        <v>44166</v>
      </c>
      <c r="D192" s="130">
        <v>40</v>
      </c>
      <c r="E192" s="14">
        <v>3673101.7</v>
      </c>
      <c r="F192" s="14"/>
      <c r="G192" s="14">
        <v>339030.31</v>
      </c>
      <c r="H192" s="43">
        <f t="shared" si="12"/>
        <v>4012132.0100000002</v>
      </c>
      <c r="I192" s="43">
        <f t="shared" si="8"/>
        <v>4012132.0100000002</v>
      </c>
      <c r="J192" s="18"/>
      <c r="K192" s="14"/>
    </row>
    <row r="193" spans="1:11" ht="24" outlineLevel="2" x14ac:dyDescent="0.2">
      <c r="A193" s="21" t="s">
        <v>71</v>
      </c>
      <c r="B193" s="89">
        <v>42674</v>
      </c>
      <c r="C193" s="90">
        <v>43435</v>
      </c>
      <c r="D193" s="187">
        <v>90</v>
      </c>
      <c r="E193" s="14">
        <f>508936.63+286063.37</f>
        <v>795000</v>
      </c>
      <c r="F193" s="14">
        <f>16211.67+3196508.17</f>
        <v>3212719.84</v>
      </c>
      <c r="G193" s="14">
        <f>14403.48+90753.47+90753.47+323.57+29414.47+414.88+419.49+424.1</f>
        <v>226906.93</v>
      </c>
      <c r="H193" s="43">
        <f t="shared" si="12"/>
        <v>4234626.7699999996</v>
      </c>
      <c r="I193" s="43">
        <f t="shared" si="8"/>
        <v>4234626.7699999996</v>
      </c>
      <c r="J193" s="18"/>
      <c r="K193" s="14"/>
    </row>
    <row r="194" spans="1:11" ht="30" customHeight="1" outlineLevel="2" x14ac:dyDescent="0.2">
      <c r="A194" s="17" t="s">
        <v>190</v>
      </c>
      <c r="B194" s="89">
        <v>43098</v>
      </c>
      <c r="C194" s="90">
        <v>43435</v>
      </c>
      <c r="D194" s="187">
        <v>95</v>
      </c>
      <c r="E194" s="14"/>
      <c r="F194" s="14"/>
      <c r="G194" s="14">
        <f>750000</f>
        <v>750000</v>
      </c>
      <c r="H194" s="43">
        <f t="shared" si="12"/>
        <v>750000</v>
      </c>
      <c r="I194" s="43">
        <f t="shared" si="8"/>
        <v>750000</v>
      </c>
      <c r="J194" s="18"/>
      <c r="K194" s="14"/>
    </row>
    <row r="195" spans="1:11" ht="25.5" customHeight="1" outlineLevel="2" x14ac:dyDescent="0.2">
      <c r="A195" s="17" t="s">
        <v>52</v>
      </c>
      <c r="B195" s="89">
        <v>42727</v>
      </c>
      <c r="C195" s="90">
        <v>43435</v>
      </c>
      <c r="D195" s="187">
        <v>90</v>
      </c>
      <c r="E195" s="14">
        <f>339345.41+42010.53</f>
        <v>381355.93999999994</v>
      </c>
      <c r="F195" s="14">
        <v>1496295.19</v>
      </c>
      <c r="G195" s="14">
        <f>37042.41+14816.96+22225.44+56.99+111.13+21562.5+112.37+113.6</f>
        <v>96041.400000000009</v>
      </c>
      <c r="H195" s="43">
        <f t="shared" si="12"/>
        <v>1973692.5299999998</v>
      </c>
      <c r="I195" s="43">
        <f t="shared" si="8"/>
        <v>1973692.5299999998</v>
      </c>
      <c r="J195" s="18"/>
      <c r="K195" s="14"/>
    </row>
    <row r="196" spans="1:11" ht="24" outlineLevel="2" x14ac:dyDescent="0.2">
      <c r="A196" s="21" t="s">
        <v>191</v>
      </c>
      <c r="B196" s="89">
        <v>43039</v>
      </c>
      <c r="C196" s="90">
        <v>43435</v>
      </c>
      <c r="D196" s="187">
        <v>20</v>
      </c>
      <c r="E196" s="14">
        <f>296278.88+2148959.47</f>
        <v>2445238.35</v>
      </c>
      <c r="F196" s="14"/>
      <c r="G196" s="59">
        <f>32430.97+17472.22+45136.56</f>
        <v>95039.75</v>
      </c>
      <c r="H196" s="43">
        <f t="shared" si="12"/>
        <v>2540278.1</v>
      </c>
      <c r="I196" s="43">
        <f t="shared" si="8"/>
        <v>2540278.1</v>
      </c>
      <c r="J196" s="18"/>
      <c r="K196" s="14"/>
    </row>
    <row r="197" spans="1:11" outlineLevel="2" x14ac:dyDescent="0.2">
      <c r="A197" s="21" t="s">
        <v>204</v>
      </c>
      <c r="B197" s="89">
        <v>43039</v>
      </c>
      <c r="C197" s="90">
        <v>43435</v>
      </c>
      <c r="D197" s="187">
        <v>20</v>
      </c>
      <c r="E197" s="14">
        <f>436246.93+2380114</f>
        <v>2816360.93</v>
      </c>
      <c r="F197" s="14"/>
      <c r="G197" s="59">
        <f>40231.28+24998.76+95828.59</f>
        <v>161058.63</v>
      </c>
      <c r="H197" s="43">
        <f t="shared" si="12"/>
        <v>2977419.56</v>
      </c>
      <c r="I197" s="43">
        <f t="shared" si="8"/>
        <v>2977419.56</v>
      </c>
      <c r="J197" s="18"/>
      <c r="K197" s="14"/>
    </row>
    <row r="198" spans="1:11" ht="12" customHeight="1" outlineLevel="2" x14ac:dyDescent="0.2">
      <c r="A198" s="21" t="s">
        <v>53</v>
      </c>
      <c r="B198" s="89">
        <v>42705</v>
      </c>
      <c r="C198" s="89">
        <v>43435</v>
      </c>
      <c r="D198" s="130">
        <v>90</v>
      </c>
      <c r="E198" s="14">
        <f>2510858.23+6879.05</f>
        <v>2517737.2799999998</v>
      </c>
      <c r="F198" s="14">
        <f>8280946.56+1882531.34+120291.39</f>
        <v>10283769.290000001</v>
      </c>
      <c r="G198" s="14">
        <f>42745.5+64600+387141.77+581400+112500+2331.12+3985.27+4221.85+4073.83</f>
        <v>1202999.3400000003</v>
      </c>
      <c r="H198" s="43">
        <f t="shared" si="12"/>
        <v>14004505.91</v>
      </c>
      <c r="I198" s="43">
        <f t="shared" si="8"/>
        <v>14004505.91</v>
      </c>
      <c r="J198" s="18"/>
      <c r="K198" s="14"/>
    </row>
    <row r="199" spans="1:11" ht="12.75" customHeight="1" outlineLevel="2" x14ac:dyDescent="0.2">
      <c r="A199" s="17" t="s">
        <v>5</v>
      </c>
      <c r="B199" s="89">
        <v>40908</v>
      </c>
      <c r="C199" s="90">
        <v>43435</v>
      </c>
      <c r="D199" s="187">
        <v>80</v>
      </c>
      <c r="E199" s="14">
        <f>460260.01+445124</f>
        <v>905384.01</v>
      </c>
      <c r="F199" s="14">
        <f>2628813+193052.86+3623.98+26980886.39</f>
        <v>29806376.23</v>
      </c>
      <c r="G199" s="59">
        <f>951306.43+47221.93+36724.22+36724.25+37127.77+21163.87+13328.68+740.48+513577.67+460260.01+2750.68+7372.33+7453.32</f>
        <v>2135751.64</v>
      </c>
      <c r="H199" s="43">
        <f>E199+F199+G199</f>
        <v>32847511.880000003</v>
      </c>
      <c r="I199" s="43">
        <f t="shared" si="8"/>
        <v>32847511.880000003</v>
      </c>
      <c r="J199" s="74"/>
      <c r="K199" s="14"/>
    </row>
    <row r="200" spans="1:11" outlineLevel="2" x14ac:dyDescent="0.2">
      <c r="A200" s="17" t="s">
        <v>192</v>
      </c>
      <c r="B200" s="89">
        <v>43039</v>
      </c>
      <c r="C200" s="89">
        <v>43647</v>
      </c>
      <c r="D200" s="130">
        <v>30</v>
      </c>
      <c r="E200" s="14">
        <f>1533063.23+367597.1</f>
        <v>1900660.33</v>
      </c>
      <c r="F200" s="14"/>
      <c r="G200" s="14">
        <v>28034.74</v>
      </c>
      <c r="H200" s="43">
        <f t="shared" ref="H200:H213" si="13">F200+E200+G200</f>
        <v>1928695.07</v>
      </c>
      <c r="I200" s="43">
        <f>H200</f>
        <v>1928695.07</v>
      </c>
      <c r="J200" s="18"/>
      <c r="K200" s="14"/>
    </row>
    <row r="201" spans="1:11" outlineLevel="2" x14ac:dyDescent="0.2">
      <c r="A201" s="17" t="s">
        <v>9</v>
      </c>
      <c r="B201" s="89">
        <v>40903</v>
      </c>
      <c r="C201" s="89">
        <v>43435</v>
      </c>
      <c r="D201" s="130">
        <v>95</v>
      </c>
      <c r="E201" s="59">
        <f>14745700+136277.39</f>
        <v>14881977.390000001</v>
      </c>
      <c r="F201" s="14">
        <f>303993.75+1969491.53+30513756.51+18049264.87+17348914.01-1969491.53+1969491.53</f>
        <v>68185420.670000002</v>
      </c>
      <c r="G201" s="14">
        <f>738385+5951.54+6293.58+975670.38+6293.58+197260+51103.03+41107.83+32350.85+12041.46+37271.4-12041.46-197260+203919.16+6733.15+6807.14</f>
        <v>2111886.6400000006</v>
      </c>
      <c r="H201" s="43">
        <f t="shared" si="13"/>
        <v>85179284.700000003</v>
      </c>
      <c r="I201" s="43">
        <f t="shared" ref="I201:I202" si="14">H201</f>
        <v>85179284.700000003</v>
      </c>
      <c r="J201" s="18"/>
      <c r="K201" s="14"/>
    </row>
    <row r="202" spans="1:11" outlineLevel="2" x14ac:dyDescent="0.2">
      <c r="A202" s="17" t="s">
        <v>729</v>
      </c>
      <c r="B202" s="89">
        <v>43039</v>
      </c>
      <c r="C202" s="89">
        <v>43647</v>
      </c>
      <c r="D202" s="130">
        <v>30</v>
      </c>
      <c r="E202" s="14">
        <f>5576229.27+2174110.45</f>
        <v>7750339.7199999997</v>
      </c>
      <c r="F202" s="14"/>
      <c r="G202" s="14">
        <v>114317.51</v>
      </c>
      <c r="H202" s="43">
        <f t="shared" si="13"/>
        <v>7864657.2299999995</v>
      </c>
      <c r="I202" s="43">
        <f t="shared" si="14"/>
        <v>7864657.2299999995</v>
      </c>
      <c r="J202" s="73"/>
      <c r="K202" s="65"/>
    </row>
    <row r="203" spans="1:11" ht="23.25" customHeight="1" outlineLevel="2" x14ac:dyDescent="0.2">
      <c r="A203" s="21" t="s">
        <v>54</v>
      </c>
      <c r="B203" s="89">
        <v>42674</v>
      </c>
      <c r="C203" s="89">
        <v>43435</v>
      </c>
      <c r="D203" s="130">
        <v>90</v>
      </c>
      <c r="E203" s="14">
        <v>790936.52</v>
      </c>
      <c r="F203" s="14">
        <f>1650884.14+1594273.94+120715.77</f>
        <v>3365873.85</v>
      </c>
      <c r="G203" s="14">
        <f>20029.63+126225+416175.98+63112.5+3686.62+4583.39+84375+4842.52+77.91+4792.29+5378.34</f>
        <v>733279.18</v>
      </c>
      <c r="H203" s="43">
        <f t="shared" si="13"/>
        <v>4890089.55</v>
      </c>
      <c r="I203" s="43">
        <f t="shared" si="8"/>
        <v>4890089.55</v>
      </c>
      <c r="J203" s="18"/>
      <c r="K203" s="14"/>
    </row>
    <row r="204" spans="1:11" ht="12" customHeight="1" outlineLevel="2" x14ac:dyDescent="0.2">
      <c r="A204" s="21" t="s">
        <v>730</v>
      </c>
      <c r="B204" s="89">
        <v>43039</v>
      </c>
      <c r="C204" s="89">
        <v>43647</v>
      </c>
      <c r="D204" s="130">
        <v>40</v>
      </c>
      <c r="E204" s="14">
        <f>4179082.84+1655437.93</f>
        <v>5834520.7699999996</v>
      </c>
      <c r="F204" s="14"/>
      <c r="G204" s="14">
        <f>83280.14+8.79</f>
        <v>83288.929999999993</v>
      </c>
      <c r="H204" s="43">
        <f t="shared" si="13"/>
        <v>5917809.6999999993</v>
      </c>
      <c r="I204" s="43">
        <f t="shared" si="8"/>
        <v>5917809.6999999993</v>
      </c>
      <c r="J204" s="18"/>
      <c r="K204" s="14"/>
    </row>
    <row r="205" spans="1:11" ht="30" customHeight="1" outlineLevel="2" x14ac:dyDescent="0.2">
      <c r="A205" s="20" t="s">
        <v>291</v>
      </c>
      <c r="B205" s="89">
        <v>43069</v>
      </c>
      <c r="C205" s="89">
        <v>43829</v>
      </c>
      <c r="D205" s="130">
        <v>15</v>
      </c>
      <c r="E205" s="14"/>
      <c r="F205" s="14"/>
      <c r="G205" s="14">
        <v>14793.46</v>
      </c>
      <c r="H205" s="43">
        <f t="shared" si="13"/>
        <v>14793.46</v>
      </c>
      <c r="I205" s="43">
        <f>H205</f>
        <v>14793.46</v>
      </c>
      <c r="J205" s="72"/>
      <c r="K205" s="14"/>
    </row>
    <row r="206" spans="1:11" ht="24" outlineLevel="2" x14ac:dyDescent="0.2">
      <c r="A206" s="21" t="s">
        <v>72</v>
      </c>
      <c r="B206" s="89">
        <v>42674</v>
      </c>
      <c r="C206" s="90">
        <v>43404</v>
      </c>
      <c r="D206" s="187">
        <v>90</v>
      </c>
      <c r="E206" s="14">
        <f>339345.4+42010.52</f>
        <v>381355.92000000004</v>
      </c>
      <c r="F206" s="14">
        <f>7953.87+1687297.57</f>
        <v>1695251.4400000002</v>
      </c>
      <c r="G206" s="59">
        <f>87520.32+21562.5</f>
        <v>109082.82</v>
      </c>
      <c r="H206" s="43">
        <f t="shared" si="13"/>
        <v>2185690.1800000002</v>
      </c>
      <c r="I206" s="43">
        <f t="shared" ref="I206:I214" si="15">H206</f>
        <v>2185690.1800000002</v>
      </c>
      <c r="J206" s="18"/>
      <c r="K206" s="14"/>
    </row>
    <row r="207" spans="1:11" ht="24" outlineLevel="2" x14ac:dyDescent="0.2">
      <c r="A207" s="21" t="s">
        <v>55</v>
      </c>
      <c r="B207" s="89">
        <v>42705</v>
      </c>
      <c r="C207" s="90">
        <v>43312</v>
      </c>
      <c r="D207" s="187">
        <v>90</v>
      </c>
      <c r="E207" s="59">
        <f>302749.7+120979.11</f>
        <v>423728.81</v>
      </c>
      <c r="F207" s="14">
        <v>1746467.75</v>
      </c>
      <c r="G207" s="14">
        <f>7330.61+36631+14652.4+21978.6+91.91+179.22+181.21+183.2</f>
        <v>81228.150000000009</v>
      </c>
      <c r="H207" s="43">
        <f t="shared" si="13"/>
        <v>2251424.71</v>
      </c>
      <c r="I207" s="43">
        <f t="shared" si="15"/>
        <v>2251424.71</v>
      </c>
      <c r="J207" s="18"/>
      <c r="K207" s="14"/>
    </row>
    <row r="208" spans="1:11" ht="24" outlineLevel="2" x14ac:dyDescent="0.2">
      <c r="A208" s="21" t="s">
        <v>73</v>
      </c>
      <c r="B208" s="89">
        <v>42674</v>
      </c>
      <c r="C208" s="90">
        <v>43435</v>
      </c>
      <c r="D208" s="187">
        <v>90</v>
      </c>
      <c r="E208" s="14">
        <f>5740697.89+360302.11</f>
        <v>6101000</v>
      </c>
      <c r="F208" s="14">
        <v>1125749.72</v>
      </c>
      <c r="G208" s="14">
        <f>109646.13+932845.32+399790.85+21419.88+155955.03+23391.8+22732.63+23071.16</f>
        <v>1688852.7999999996</v>
      </c>
      <c r="H208" s="43">
        <f t="shared" si="13"/>
        <v>8915602.5199999996</v>
      </c>
      <c r="I208" s="43">
        <f t="shared" si="15"/>
        <v>8915602.5199999996</v>
      </c>
      <c r="J208" s="18"/>
      <c r="K208" s="14"/>
    </row>
    <row r="209" spans="1:11" outlineLevel="2" x14ac:dyDescent="0.2">
      <c r="A209" s="21" t="s">
        <v>194</v>
      </c>
      <c r="B209" s="89">
        <v>43039</v>
      </c>
      <c r="C209" s="89">
        <v>43647</v>
      </c>
      <c r="D209" s="187">
        <v>20</v>
      </c>
      <c r="E209" s="14">
        <f>319507.53+2454515.31</f>
        <v>2774022.84</v>
      </c>
      <c r="F209" s="14"/>
      <c r="G209" s="14">
        <v>32017.88</v>
      </c>
      <c r="H209" s="43">
        <f t="shared" si="13"/>
        <v>2806040.7199999997</v>
      </c>
      <c r="I209" s="43">
        <f t="shared" si="15"/>
        <v>2806040.7199999997</v>
      </c>
      <c r="J209" s="18"/>
      <c r="K209" s="14"/>
    </row>
    <row r="210" spans="1:11" outlineLevel="2" x14ac:dyDescent="0.2">
      <c r="A210" s="21" t="s">
        <v>195</v>
      </c>
      <c r="B210" s="89">
        <v>43039</v>
      </c>
      <c r="C210" s="89">
        <v>43647</v>
      </c>
      <c r="D210" s="187">
        <v>20</v>
      </c>
      <c r="E210" s="14">
        <v>5496628.4299999997</v>
      </c>
      <c r="F210" s="14"/>
      <c r="G210" s="14">
        <v>49398.59</v>
      </c>
      <c r="H210" s="43">
        <f t="shared" si="13"/>
        <v>5546027.0199999996</v>
      </c>
      <c r="I210" s="43">
        <f t="shared" si="15"/>
        <v>5546027.0199999996</v>
      </c>
      <c r="J210" s="18"/>
      <c r="K210" s="14"/>
    </row>
    <row r="211" spans="1:11" ht="30.75" customHeight="1" outlineLevel="2" x14ac:dyDescent="0.2">
      <c r="A211" s="17" t="s">
        <v>49</v>
      </c>
      <c r="B211" s="89">
        <v>42654</v>
      </c>
      <c r="C211" s="90">
        <v>43830</v>
      </c>
      <c r="D211" s="187">
        <v>90</v>
      </c>
      <c r="E211" s="14">
        <f>7502441.36+286700.05</f>
        <v>7789141.4100000001</v>
      </c>
      <c r="F211" s="14">
        <f>11864249.25+4996499.14</f>
        <v>16860748.390000001</v>
      </c>
      <c r="G211" s="14">
        <f>122500+720340+27653.3+48977.78+288136+264803.82+1072829.6+286700.05+43220+101283.97+999.98+241716.92+302389.73+264363.81+11492.14+262903.3+7469.9+265792.45+7551.98</f>
        <v>4341124.7300000004</v>
      </c>
      <c r="H211" s="43">
        <f>F211+E211+G211</f>
        <v>28991014.530000001</v>
      </c>
      <c r="I211" s="43">
        <f>H211</f>
        <v>28991014.530000001</v>
      </c>
      <c r="J211" s="14"/>
      <c r="K211" s="14"/>
    </row>
    <row r="212" spans="1:11" ht="15.75" customHeight="1" outlineLevel="2" x14ac:dyDescent="0.2">
      <c r="A212" s="17" t="s">
        <v>10</v>
      </c>
      <c r="B212" s="89">
        <v>40903</v>
      </c>
      <c r="C212" s="90">
        <v>43800</v>
      </c>
      <c r="D212" s="187">
        <v>40</v>
      </c>
      <c r="E212" s="14">
        <v>7778000</v>
      </c>
      <c r="F212" s="14"/>
      <c r="G212" s="14">
        <v>421628</v>
      </c>
      <c r="H212" s="43">
        <f t="shared" si="13"/>
        <v>8199628</v>
      </c>
      <c r="I212" s="43">
        <f t="shared" si="15"/>
        <v>8199628</v>
      </c>
      <c r="J212" s="18"/>
      <c r="K212" s="14"/>
    </row>
    <row r="213" spans="1:11" outlineLevel="2" x14ac:dyDescent="0.2">
      <c r="A213" s="17" t="s">
        <v>196</v>
      </c>
      <c r="B213" s="89">
        <v>43039</v>
      </c>
      <c r="C213" s="89">
        <v>43647</v>
      </c>
      <c r="D213" s="187">
        <v>40</v>
      </c>
      <c r="E213" s="14">
        <f>418926.86+2632995.69</f>
        <v>3051922.55</v>
      </c>
      <c r="F213" s="14"/>
      <c r="G213" s="14">
        <v>37519.07</v>
      </c>
      <c r="H213" s="43">
        <f t="shared" si="13"/>
        <v>3089441.6199999996</v>
      </c>
      <c r="I213" s="43">
        <f t="shared" si="15"/>
        <v>3089441.6199999996</v>
      </c>
      <c r="J213" s="18"/>
      <c r="K213" s="14"/>
    </row>
    <row r="214" spans="1:11" ht="24.75" customHeight="1" outlineLevel="2" x14ac:dyDescent="0.2">
      <c r="A214" s="17" t="s">
        <v>205</v>
      </c>
      <c r="B214" s="89">
        <v>43039</v>
      </c>
      <c r="C214" s="89">
        <v>43647</v>
      </c>
      <c r="D214" s="187">
        <v>30</v>
      </c>
      <c r="E214" s="14">
        <f>183756.37+1660361.3</f>
        <v>1844117.67</v>
      </c>
      <c r="F214" s="14"/>
      <c r="G214" s="59">
        <f>2710.41+19132.92</f>
        <v>21843.329999999998</v>
      </c>
      <c r="H214" s="43">
        <f>E214+F214+G214</f>
        <v>1865961</v>
      </c>
      <c r="I214" s="43">
        <f t="shared" si="15"/>
        <v>1865961</v>
      </c>
      <c r="J214" s="74"/>
      <c r="K214" s="14"/>
    </row>
    <row r="215" spans="1:11" ht="24" outlineLevel="2" x14ac:dyDescent="0.2">
      <c r="A215" s="17" t="s">
        <v>57</v>
      </c>
      <c r="B215" s="89">
        <v>42674</v>
      </c>
      <c r="C215" s="90">
        <v>43435</v>
      </c>
      <c r="D215" s="187">
        <v>90</v>
      </c>
      <c r="E215" s="14">
        <f>10642383.5+645752.09</f>
        <v>11288135.59</v>
      </c>
      <c r="F215" s="14">
        <f>2688490.08+31561280.85</f>
        <v>34249770.93</v>
      </c>
      <c r="G215" s="14">
        <f>166500+1331918.64+887945.76+7058.72+13666.89+13817.07</f>
        <v>2420907.08</v>
      </c>
      <c r="H215" s="43">
        <f>F215+E215+G215</f>
        <v>47958813.599999994</v>
      </c>
      <c r="I215" s="43">
        <f>H215</f>
        <v>47958813.599999994</v>
      </c>
      <c r="J215" s="18"/>
      <c r="K215" s="14"/>
    </row>
    <row r="216" spans="1:11" ht="12.75" customHeight="1" outlineLevel="2" x14ac:dyDescent="0.2">
      <c r="A216" s="17" t="s">
        <v>197</v>
      </c>
      <c r="B216" s="89">
        <v>43039</v>
      </c>
      <c r="C216" s="89">
        <v>43647</v>
      </c>
      <c r="D216" s="187">
        <v>40</v>
      </c>
      <c r="E216" s="14">
        <f>2532286.49+1052559</f>
        <v>3584845.49</v>
      </c>
      <c r="F216" s="14"/>
      <c r="G216" s="59">
        <f>52876.47+21.58+14.72</f>
        <v>52912.770000000004</v>
      </c>
      <c r="H216" s="43">
        <f>E216+F216+G216</f>
        <v>3637758.2600000002</v>
      </c>
      <c r="I216" s="43">
        <f t="shared" ref="I216" si="16">H216</f>
        <v>3637758.2600000002</v>
      </c>
      <c r="J216" s="74"/>
      <c r="K216" s="14"/>
    </row>
    <row r="217" spans="1:11" outlineLevel="2" x14ac:dyDescent="0.2">
      <c r="A217" s="17" t="s">
        <v>11</v>
      </c>
      <c r="B217" s="89">
        <v>40903</v>
      </c>
      <c r="C217" s="90">
        <v>43800</v>
      </c>
      <c r="D217" s="187">
        <v>40</v>
      </c>
      <c r="E217" s="14">
        <v>6302500</v>
      </c>
      <c r="F217" s="14"/>
      <c r="G217" s="59">
        <v>364502</v>
      </c>
      <c r="H217" s="43">
        <f t="shared" ref="H217:H224" si="17">F217+E217+G217</f>
        <v>6667002</v>
      </c>
      <c r="I217" s="43">
        <f>H217</f>
        <v>6667002</v>
      </c>
      <c r="J217" s="18"/>
      <c r="K217" s="14"/>
    </row>
    <row r="218" spans="1:11" outlineLevel="2" x14ac:dyDescent="0.2">
      <c r="A218" s="17" t="s">
        <v>198</v>
      </c>
      <c r="B218" s="89">
        <v>43039</v>
      </c>
      <c r="C218" s="90">
        <v>43800</v>
      </c>
      <c r="D218" s="187">
        <v>40</v>
      </c>
      <c r="E218" s="14">
        <f>1958014.21+798048.71</f>
        <v>2756062.92</v>
      </c>
      <c r="F218" s="14"/>
      <c r="G218" s="59">
        <v>40651.919999999998</v>
      </c>
      <c r="H218" s="43">
        <f t="shared" si="17"/>
        <v>2796714.84</v>
      </c>
      <c r="I218" s="43">
        <f t="shared" si="8"/>
        <v>2796714.84</v>
      </c>
      <c r="J218" s="18"/>
      <c r="K218" s="14"/>
    </row>
    <row r="219" spans="1:11" outlineLevel="2" x14ac:dyDescent="0.2">
      <c r="A219" s="17" t="s">
        <v>56</v>
      </c>
      <c r="B219" s="89">
        <v>42674</v>
      </c>
      <c r="C219" s="90">
        <v>43435</v>
      </c>
      <c r="D219" s="187">
        <v>95</v>
      </c>
      <c r="E219" s="14">
        <f>8916820.81+121764.94</f>
        <v>9038585.75</v>
      </c>
      <c r="F219" s="14">
        <f>7656.83+21284159.08+737377.14+6489733.81</f>
        <v>28518926.859999996</v>
      </c>
      <c r="G219" s="14">
        <f>171320.37+2698119.87+343750+21086.32+13701.6+13848.31</f>
        <v>3261826.47</v>
      </c>
      <c r="H219" s="43">
        <f t="shared" si="17"/>
        <v>40819339.079999998</v>
      </c>
      <c r="I219" s="43">
        <f t="shared" si="8"/>
        <v>40819339.079999998</v>
      </c>
      <c r="J219" s="18"/>
      <c r="K219" s="14"/>
    </row>
    <row r="220" spans="1:11" ht="36" outlineLevel="2" x14ac:dyDescent="0.2">
      <c r="A220" s="17" t="s">
        <v>199</v>
      </c>
      <c r="B220" s="89">
        <v>43039</v>
      </c>
      <c r="C220" s="90">
        <v>43800</v>
      </c>
      <c r="D220" s="187">
        <v>40</v>
      </c>
      <c r="E220" s="14">
        <f>2292677.03+1103624.16</f>
        <v>3396301.1899999995</v>
      </c>
      <c r="F220" s="14"/>
      <c r="G220" s="14">
        <f>50095.44+101.58+76.6</f>
        <v>50273.62</v>
      </c>
      <c r="H220" s="43">
        <f t="shared" si="17"/>
        <v>3446574.8099999996</v>
      </c>
      <c r="I220" s="43">
        <f t="shared" si="8"/>
        <v>3446574.8099999996</v>
      </c>
      <c r="J220" s="73"/>
      <c r="K220" s="65"/>
    </row>
    <row r="221" spans="1:11" ht="36" outlineLevel="2" x14ac:dyDescent="0.2">
      <c r="A221" s="17" t="s">
        <v>200</v>
      </c>
      <c r="B221" s="89">
        <v>43039</v>
      </c>
      <c r="C221" s="90">
        <v>43800</v>
      </c>
      <c r="D221" s="187">
        <v>20</v>
      </c>
      <c r="E221" s="14">
        <f>261435.92+1872166.02</f>
        <v>2133601.94</v>
      </c>
      <c r="F221" s="14"/>
      <c r="G221" s="14">
        <v>27925.95</v>
      </c>
      <c r="H221" s="43">
        <f t="shared" si="17"/>
        <v>2161527.89</v>
      </c>
      <c r="I221" s="43">
        <f t="shared" si="8"/>
        <v>2161527.89</v>
      </c>
      <c r="J221" s="73"/>
      <c r="K221" s="65"/>
    </row>
    <row r="222" spans="1:11" outlineLevel="2" x14ac:dyDescent="0.2">
      <c r="A222" s="17" t="s">
        <v>201</v>
      </c>
      <c r="B222" s="89">
        <v>43039</v>
      </c>
      <c r="C222" s="90">
        <v>43800</v>
      </c>
      <c r="D222" s="187">
        <v>40</v>
      </c>
      <c r="E222" s="14">
        <f>2019543.09+934821.83</f>
        <v>2954364.92</v>
      </c>
      <c r="F222" s="14"/>
      <c r="G222" s="14">
        <v>43576.88</v>
      </c>
      <c r="H222" s="43">
        <f t="shared" si="17"/>
        <v>2997941.8</v>
      </c>
      <c r="I222" s="43">
        <f t="shared" si="8"/>
        <v>2997941.8</v>
      </c>
      <c r="J222" s="73"/>
      <c r="K222" s="65"/>
    </row>
    <row r="223" spans="1:11" outlineLevel="2" x14ac:dyDescent="0.2">
      <c r="A223" s="17" t="s">
        <v>202</v>
      </c>
      <c r="B223" s="89">
        <v>43039</v>
      </c>
      <c r="C223" s="90">
        <v>43800</v>
      </c>
      <c r="D223" s="187">
        <v>40</v>
      </c>
      <c r="E223" s="14">
        <f>1447604.63+641034.24</f>
        <v>2088638.8699999999</v>
      </c>
      <c r="F223" s="14"/>
      <c r="G223" s="14">
        <f>30807.42+10.06</f>
        <v>30817.48</v>
      </c>
      <c r="H223" s="43">
        <f t="shared" si="17"/>
        <v>2119456.35</v>
      </c>
      <c r="I223" s="43">
        <f t="shared" si="8"/>
        <v>2119456.35</v>
      </c>
      <c r="J223" s="73"/>
      <c r="K223" s="65"/>
    </row>
    <row r="224" spans="1:11" outlineLevel="2" x14ac:dyDescent="0.2">
      <c r="A224" s="17" t="s">
        <v>203</v>
      </c>
      <c r="B224" s="89">
        <v>43039</v>
      </c>
      <c r="C224" s="90">
        <v>43800</v>
      </c>
      <c r="D224" s="187">
        <v>40</v>
      </c>
      <c r="E224" s="14">
        <f>2087084.55+638121.93</f>
        <v>2725206.48</v>
      </c>
      <c r="F224" s="14"/>
      <c r="G224" s="14">
        <v>40196.79</v>
      </c>
      <c r="H224" s="43">
        <f t="shared" si="17"/>
        <v>2765403.27</v>
      </c>
      <c r="I224" s="43">
        <f t="shared" si="8"/>
        <v>2765403.27</v>
      </c>
      <c r="J224" s="73"/>
      <c r="K224" s="65"/>
    </row>
    <row r="225" spans="1:39" ht="24" outlineLevel="2" x14ac:dyDescent="0.2">
      <c r="A225" s="21" t="s">
        <v>74</v>
      </c>
      <c r="B225" s="89">
        <v>42674</v>
      </c>
      <c r="C225" s="90">
        <v>43435</v>
      </c>
      <c r="D225" s="130">
        <v>90</v>
      </c>
      <c r="E225" s="14">
        <v>423703.39</v>
      </c>
      <c r="F225" s="14">
        <f>7372.92+2934611.54</f>
        <v>2941984.46</v>
      </c>
      <c r="G225" s="59">
        <v>41993.58</v>
      </c>
      <c r="H225" s="43">
        <f>F225+E225+G225</f>
        <v>3407681.43</v>
      </c>
      <c r="I225" s="43">
        <f t="shared" si="8"/>
        <v>3407681.43</v>
      </c>
      <c r="J225" s="18"/>
      <c r="K225" s="14"/>
    </row>
    <row r="226" spans="1:39" ht="24" outlineLevel="2" x14ac:dyDescent="0.2">
      <c r="A226" s="22" t="s">
        <v>83</v>
      </c>
      <c r="B226" s="89">
        <v>42704</v>
      </c>
      <c r="C226" s="90">
        <v>43435</v>
      </c>
      <c r="D226" s="130">
        <v>90</v>
      </c>
      <c r="E226" s="14">
        <v>423703.39</v>
      </c>
      <c r="F226" s="14">
        <f>5323.68+2863983.79</f>
        <v>2869307.47</v>
      </c>
      <c r="G226" s="14">
        <f>6249.63+42202.92</f>
        <v>48452.549999999996</v>
      </c>
      <c r="H226" s="43">
        <f>F226+E226+G226</f>
        <v>3341463.41</v>
      </c>
      <c r="I226" s="43">
        <f>H226</f>
        <v>3341463.41</v>
      </c>
      <c r="J226" s="18"/>
      <c r="K226" s="14"/>
    </row>
    <row r="227" spans="1:39" ht="24" outlineLevel="2" x14ac:dyDescent="0.2">
      <c r="A227" s="21" t="s">
        <v>75</v>
      </c>
      <c r="B227" s="89">
        <v>42674</v>
      </c>
      <c r="C227" s="90">
        <v>43435</v>
      </c>
      <c r="D227" s="130">
        <v>90</v>
      </c>
      <c r="E227" s="14">
        <v>423703.39</v>
      </c>
      <c r="F227" s="14">
        <f>11667.88+1961160.45</f>
        <v>1972828.3299999998</v>
      </c>
      <c r="G227" s="59">
        <v>6249.63</v>
      </c>
      <c r="H227" s="43">
        <f>F227+E227+G227</f>
        <v>2402781.3499999996</v>
      </c>
      <c r="I227" s="43">
        <f t="shared" si="8"/>
        <v>2402781.3499999996</v>
      </c>
      <c r="J227" s="18"/>
      <c r="K227" s="14"/>
    </row>
    <row r="228" spans="1:39" ht="12" customHeight="1" x14ac:dyDescent="0.2">
      <c r="A228" s="17"/>
      <c r="B228" s="89"/>
      <c r="C228" s="90"/>
      <c r="D228" s="187"/>
      <c r="E228" s="57">
        <f>SUM(E167:E227)</f>
        <v>167455514.91999993</v>
      </c>
      <c r="F228" s="57">
        <f>SUM(F167:F227)</f>
        <v>266716936.38</v>
      </c>
      <c r="G228" s="57">
        <f>SUM(G167:G227)</f>
        <v>34229239.670000002</v>
      </c>
      <c r="H228" s="43">
        <f>SUM(H167:H227)</f>
        <v>468401690.97000003</v>
      </c>
      <c r="I228" s="43">
        <f>H228</f>
        <v>468401690.97000003</v>
      </c>
      <c r="J228" s="18"/>
      <c r="K228" s="116"/>
    </row>
    <row r="229" spans="1:39" ht="12" customHeight="1" x14ac:dyDescent="0.2">
      <c r="A229" s="17"/>
      <c r="B229" s="89"/>
      <c r="C229" s="90"/>
      <c r="D229" s="187"/>
      <c r="E229" s="57"/>
      <c r="F229" s="57"/>
      <c r="G229" s="57"/>
      <c r="H229" s="43"/>
      <c r="I229" s="43"/>
      <c r="J229" s="18"/>
      <c r="K229" s="116"/>
    </row>
    <row r="230" spans="1:39" ht="19.5" customHeight="1" x14ac:dyDescent="0.2">
      <c r="A230" s="19" t="s">
        <v>32</v>
      </c>
      <c r="B230" s="89"/>
      <c r="C230" s="90"/>
      <c r="D230" s="187"/>
      <c r="E230" s="14"/>
      <c r="F230" s="14"/>
      <c r="G230" s="14"/>
      <c r="H230" s="43"/>
      <c r="I230" s="43"/>
      <c r="J230" s="18"/>
      <c r="K230" s="14"/>
    </row>
    <row r="231" spans="1:39" ht="24.75" customHeight="1" x14ac:dyDescent="0.2">
      <c r="A231" s="19" t="s">
        <v>34</v>
      </c>
      <c r="B231" s="89"/>
      <c r="C231" s="90"/>
      <c r="D231" s="187"/>
      <c r="E231" s="59"/>
      <c r="F231" s="14"/>
      <c r="G231" s="14"/>
      <c r="H231" s="43"/>
      <c r="I231" s="43"/>
      <c r="J231" s="18"/>
      <c r="K231" s="14"/>
    </row>
    <row r="232" spans="1:39" ht="39" customHeight="1" outlineLevel="2" x14ac:dyDescent="0.2">
      <c r="A232" s="22" t="s">
        <v>82</v>
      </c>
      <c r="B232" s="89">
        <v>42733</v>
      </c>
      <c r="C232" s="90">
        <v>43600</v>
      </c>
      <c r="D232" s="187">
        <v>95</v>
      </c>
      <c r="E232" s="59">
        <v>1854496.99</v>
      </c>
      <c r="F232" s="14">
        <v>24848416.949999999</v>
      </c>
      <c r="G232" s="14">
        <v>180631.31</v>
      </c>
      <c r="H232" s="43">
        <v>26883545.25</v>
      </c>
      <c r="I232" s="43">
        <v>26883545.25</v>
      </c>
      <c r="J232" s="14"/>
      <c r="K232" s="14"/>
    </row>
    <row r="233" spans="1:39" ht="39" customHeight="1" outlineLevel="2" x14ac:dyDescent="0.2">
      <c r="A233" s="22" t="s">
        <v>1091</v>
      </c>
      <c r="B233" s="89">
        <v>43312</v>
      </c>
      <c r="C233" s="90">
        <v>43986</v>
      </c>
      <c r="D233" s="187">
        <v>5</v>
      </c>
      <c r="E233" s="59"/>
      <c r="F233" s="14"/>
      <c r="G233" s="14">
        <v>2701.69</v>
      </c>
      <c r="H233" s="43">
        <v>2701.69</v>
      </c>
      <c r="I233" s="43">
        <v>2701.69</v>
      </c>
      <c r="J233" s="14"/>
      <c r="K233" s="14"/>
    </row>
    <row r="234" spans="1:39" ht="39" customHeight="1" outlineLevel="2" x14ac:dyDescent="0.2">
      <c r="A234" s="22" t="s">
        <v>292</v>
      </c>
      <c r="B234" s="89">
        <v>42968</v>
      </c>
      <c r="C234" s="90">
        <v>43465</v>
      </c>
      <c r="D234" s="187">
        <v>40</v>
      </c>
      <c r="E234" s="59">
        <v>1812246.08</v>
      </c>
      <c r="F234" s="14"/>
      <c r="G234" s="14">
        <v>21.99</v>
      </c>
      <c r="H234" s="43">
        <v>1812268.07</v>
      </c>
      <c r="I234" s="43">
        <v>1812268.07</v>
      </c>
      <c r="J234" s="14"/>
      <c r="K234" s="14"/>
    </row>
    <row r="235" spans="1:39" ht="39" customHeight="1" outlineLevel="2" x14ac:dyDescent="0.2">
      <c r="A235" s="22" t="s">
        <v>1092</v>
      </c>
      <c r="B235" s="89">
        <v>43373</v>
      </c>
      <c r="C235" s="90">
        <v>44050</v>
      </c>
      <c r="D235" s="187">
        <v>5</v>
      </c>
      <c r="E235" s="59"/>
      <c r="F235" s="14"/>
      <c r="G235" s="14">
        <v>9468.42</v>
      </c>
      <c r="H235" s="43">
        <v>9468.42</v>
      </c>
      <c r="I235" s="43">
        <v>9468.42</v>
      </c>
      <c r="J235" s="14"/>
      <c r="K235" s="14"/>
    </row>
    <row r="236" spans="1:39" ht="39" customHeight="1" outlineLevel="2" x14ac:dyDescent="0.2">
      <c r="A236" s="22" t="s">
        <v>731</v>
      </c>
      <c r="B236" s="89">
        <v>43281</v>
      </c>
      <c r="C236" s="90">
        <v>43404</v>
      </c>
      <c r="D236" s="187">
        <v>20</v>
      </c>
      <c r="E236" s="59"/>
      <c r="F236" s="14"/>
      <c r="G236" s="14">
        <v>7325.22</v>
      </c>
      <c r="H236" s="43">
        <v>7325.22</v>
      </c>
      <c r="I236" s="43">
        <v>7325.22</v>
      </c>
      <c r="J236" s="14"/>
      <c r="K236" s="14"/>
    </row>
    <row r="237" spans="1:39" s="4" customFormat="1" ht="33.75" customHeight="1" outlineLevel="2" x14ac:dyDescent="0.2">
      <c r="A237" s="21" t="s">
        <v>89</v>
      </c>
      <c r="B237" s="89">
        <v>42906</v>
      </c>
      <c r="C237" s="89">
        <v>43464</v>
      </c>
      <c r="D237" s="187">
        <v>40</v>
      </c>
      <c r="E237" s="14">
        <v>2774434.06</v>
      </c>
      <c r="F237" s="14"/>
      <c r="G237" s="59">
        <v>562.38</v>
      </c>
      <c r="H237" s="43">
        <v>2774996.44</v>
      </c>
      <c r="I237" s="43">
        <v>2774996.44</v>
      </c>
      <c r="J237" s="18"/>
      <c r="K237" s="76"/>
    </row>
    <row r="238" spans="1:39" s="10" customFormat="1" ht="24" outlineLevel="2" x14ac:dyDescent="0.2">
      <c r="A238" s="22" t="s">
        <v>81</v>
      </c>
      <c r="B238" s="89">
        <v>42717</v>
      </c>
      <c r="C238" s="89">
        <v>43465</v>
      </c>
      <c r="D238" s="130">
        <v>40</v>
      </c>
      <c r="E238" s="60">
        <v>601191.96</v>
      </c>
      <c r="F238" s="60"/>
      <c r="G238" s="14">
        <v>19192.900000000001</v>
      </c>
      <c r="H238" s="43">
        <v>620384.86</v>
      </c>
      <c r="I238" s="43">
        <v>620384.86</v>
      </c>
      <c r="J238" s="30"/>
      <c r="K238" s="30"/>
      <c r="L238" s="8"/>
      <c r="M238" s="8"/>
      <c r="N238" s="8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</row>
    <row r="239" spans="1:39" s="4" customFormat="1" ht="26.25" customHeight="1" outlineLevel="2" x14ac:dyDescent="0.2">
      <c r="A239" s="22" t="s">
        <v>78</v>
      </c>
      <c r="B239" s="90">
        <v>42628</v>
      </c>
      <c r="C239" s="90">
        <v>43465</v>
      </c>
      <c r="D239" s="187">
        <v>10</v>
      </c>
      <c r="E239" s="60"/>
      <c r="F239" s="14"/>
      <c r="G239" s="59">
        <v>10729.02</v>
      </c>
      <c r="H239" s="43">
        <v>10729.02</v>
      </c>
      <c r="I239" s="43">
        <v>10729.02</v>
      </c>
      <c r="J239" s="76"/>
      <c r="K239" s="76"/>
    </row>
    <row r="240" spans="1:39" s="4" customFormat="1" ht="26.25" customHeight="1" outlineLevel="2" x14ac:dyDescent="0.2">
      <c r="A240" s="21" t="s">
        <v>90</v>
      </c>
      <c r="B240" s="90">
        <v>42906</v>
      </c>
      <c r="C240" s="89">
        <v>43465</v>
      </c>
      <c r="D240" s="187">
        <v>40</v>
      </c>
      <c r="E240" s="60">
        <v>494833.72</v>
      </c>
      <c r="F240" s="14"/>
      <c r="G240" s="59"/>
      <c r="H240" s="43">
        <v>494833.72</v>
      </c>
      <c r="I240" s="43">
        <v>494833.72</v>
      </c>
      <c r="J240" s="76"/>
      <c r="K240" s="76"/>
    </row>
    <row r="241" spans="1:11" outlineLevel="2" x14ac:dyDescent="0.2">
      <c r="A241" s="21" t="s">
        <v>206</v>
      </c>
      <c r="B241" s="89">
        <v>42794</v>
      </c>
      <c r="C241" s="89">
        <v>43465</v>
      </c>
      <c r="D241" s="187">
        <v>40</v>
      </c>
      <c r="E241" s="59">
        <v>1457603.54</v>
      </c>
      <c r="F241" s="14"/>
      <c r="G241" s="14">
        <v>18556.97</v>
      </c>
      <c r="H241" s="43">
        <v>1476160.51</v>
      </c>
      <c r="I241" s="43">
        <v>1476160.51</v>
      </c>
      <c r="J241" s="14"/>
      <c r="K241" s="14"/>
    </row>
    <row r="242" spans="1:11" outlineLevel="2" x14ac:dyDescent="0.2">
      <c r="A242" s="21" t="s">
        <v>736</v>
      </c>
      <c r="B242" s="89">
        <v>42886</v>
      </c>
      <c r="C242" s="89">
        <v>43465</v>
      </c>
      <c r="D242" s="187">
        <v>40</v>
      </c>
      <c r="E242" s="59">
        <v>723449.04</v>
      </c>
      <c r="F242" s="14">
        <v>28820.78</v>
      </c>
      <c r="G242" s="14">
        <v>36776.120000000003</v>
      </c>
      <c r="H242" s="43">
        <v>789045.94</v>
      </c>
      <c r="I242" s="43">
        <v>789045.94</v>
      </c>
      <c r="J242" s="14"/>
      <c r="K242" s="14"/>
    </row>
    <row r="243" spans="1:11" s="4" customFormat="1" ht="26.25" customHeight="1" outlineLevel="2" x14ac:dyDescent="0.2">
      <c r="A243" s="21" t="s">
        <v>91</v>
      </c>
      <c r="B243" s="90">
        <v>42934</v>
      </c>
      <c r="C243" s="89">
        <v>43586</v>
      </c>
      <c r="D243" s="187">
        <v>30</v>
      </c>
      <c r="E243" s="60">
        <v>418858.08</v>
      </c>
      <c r="F243" s="14"/>
      <c r="G243" s="59"/>
      <c r="H243" s="43">
        <v>418858.08</v>
      </c>
      <c r="I243" s="43">
        <v>418858.08</v>
      </c>
      <c r="J243" s="76"/>
      <c r="K243" s="76"/>
    </row>
    <row r="244" spans="1:11" ht="39" customHeight="1" outlineLevel="2" x14ac:dyDescent="0.2">
      <c r="A244" s="21" t="s">
        <v>86</v>
      </c>
      <c r="B244" s="89">
        <v>42837</v>
      </c>
      <c r="C244" s="90">
        <v>43465</v>
      </c>
      <c r="D244" s="187">
        <v>40</v>
      </c>
      <c r="E244" s="59">
        <v>1526899</v>
      </c>
      <c r="F244" s="14"/>
      <c r="G244" s="14">
        <v>28994.66</v>
      </c>
      <c r="H244" s="43">
        <v>1555893.66</v>
      </c>
      <c r="I244" s="43">
        <v>1555893.66</v>
      </c>
      <c r="J244" s="14"/>
      <c r="K244" s="14"/>
    </row>
    <row r="245" spans="1:11" ht="39" customHeight="1" outlineLevel="2" x14ac:dyDescent="0.2">
      <c r="A245" s="21" t="s">
        <v>92</v>
      </c>
      <c r="B245" s="89">
        <v>42928</v>
      </c>
      <c r="C245" s="89">
        <v>43586</v>
      </c>
      <c r="D245" s="187">
        <v>60</v>
      </c>
      <c r="E245" s="59">
        <v>458662.17</v>
      </c>
      <c r="F245" s="14"/>
      <c r="G245" s="14">
        <v>106691.4</v>
      </c>
      <c r="H245" s="43">
        <v>565353.56999999995</v>
      </c>
      <c r="I245" s="43">
        <v>565353.56999999995</v>
      </c>
      <c r="J245" s="14"/>
      <c r="K245" s="14"/>
    </row>
    <row r="246" spans="1:11" ht="16.5" customHeight="1" outlineLevel="2" x14ac:dyDescent="0.2">
      <c r="A246" s="21" t="s">
        <v>293</v>
      </c>
      <c r="B246" s="89">
        <v>43038</v>
      </c>
      <c r="C246" s="89">
        <v>43768</v>
      </c>
      <c r="D246" s="187">
        <v>60</v>
      </c>
      <c r="E246" s="59">
        <v>987172.76</v>
      </c>
      <c r="F246" s="14"/>
      <c r="G246" s="14">
        <v>18453.22</v>
      </c>
      <c r="H246" s="43">
        <v>1005625.98</v>
      </c>
      <c r="I246" s="43">
        <v>1005625.98</v>
      </c>
      <c r="J246" s="14"/>
      <c r="K246" s="14"/>
    </row>
    <row r="247" spans="1:11" ht="16.5" customHeight="1" outlineLevel="2" x14ac:dyDescent="0.2">
      <c r="A247" s="21" t="s">
        <v>294</v>
      </c>
      <c r="B247" s="89">
        <v>43003</v>
      </c>
      <c r="C247" s="89">
        <v>43733</v>
      </c>
      <c r="D247" s="187">
        <v>60</v>
      </c>
      <c r="E247" s="59">
        <v>597198</v>
      </c>
      <c r="F247" s="14"/>
      <c r="G247" s="14">
        <v>68895.25</v>
      </c>
      <c r="H247" s="43">
        <v>666093.25</v>
      </c>
      <c r="I247" s="43">
        <v>666093.25</v>
      </c>
      <c r="J247" s="14"/>
      <c r="K247" s="14"/>
    </row>
    <row r="248" spans="1:11" ht="36.75" customHeight="1" outlineLevel="2" x14ac:dyDescent="0.2">
      <c r="A248" s="21" t="s">
        <v>1093</v>
      </c>
      <c r="B248" s="89">
        <v>43312</v>
      </c>
      <c r="C248" s="89">
        <v>43979</v>
      </c>
      <c r="D248" s="187">
        <v>5</v>
      </c>
      <c r="E248" s="59"/>
      <c r="F248" s="14"/>
      <c r="G248" s="14">
        <v>9168.08</v>
      </c>
      <c r="H248" s="43">
        <v>9168.08</v>
      </c>
      <c r="I248" s="43">
        <v>9168.08</v>
      </c>
      <c r="J248" s="14"/>
      <c r="K248" s="14"/>
    </row>
    <row r="249" spans="1:11" ht="39" customHeight="1" outlineLevel="2" x14ac:dyDescent="0.2">
      <c r="A249" s="21" t="s">
        <v>93</v>
      </c>
      <c r="B249" s="89">
        <v>42853</v>
      </c>
      <c r="C249" s="89">
        <v>43465</v>
      </c>
      <c r="D249" s="187">
        <v>40</v>
      </c>
      <c r="E249" s="59">
        <v>677812</v>
      </c>
      <c r="F249" s="14"/>
      <c r="G249" s="14">
        <v>9997.73</v>
      </c>
      <c r="H249" s="43">
        <v>687809.73</v>
      </c>
      <c r="I249" s="43">
        <v>687809.73</v>
      </c>
      <c r="J249" s="14"/>
      <c r="K249" s="14"/>
    </row>
    <row r="250" spans="1:11" ht="18" customHeight="1" outlineLevel="2" x14ac:dyDescent="0.2">
      <c r="A250" s="21" t="s">
        <v>732</v>
      </c>
      <c r="B250" s="89">
        <v>43281</v>
      </c>
      <c r="C250" s="89">
        <v>43860</v>
      </c>
      <c r="D250" s="187">
        <v>60</v>
      </c>
      <c r="E250" s="59">
        <v>564879.57999999996</v>
      </c>
      <c r="F250" s="14">
        <v>25367.77</v>
      </c>
      <c r="G250" s="14">
        <v>8333.9699999999993</v>
      </c>
      <c r="H250" s="43">
        <v>598581.31999999995</v>
      </c>
      <c r="I250" s="43">
        <v>598581.31999999995</v>
      </c>
      <c r="J250" s="14"/>
      <c r="K250" s="14"/>
    </row>
    <row r="251" spans="1:11" ht="21" customHeight="1" outlineLevel="2" x14ac:dyDescent="0.2">
      <c r="A251" s="21" t="s">
        <v>295</v>
      </c>
      <c r="B251" s="89">
        <v>43116</v>
      </c>
      <c r="C251" s="89">
        <v>43846</v>
      </c>
      <c r="D251" s="187">
        <v>60</v>
      </c>
      <c r="E251" s="59">
        <v>514874.02</v>
      </c>
      <c r="F251" s="14"/>
      <c r="G251" s="14">
        <v>3719.64</v>
      </c>
      <c r="H251" s="43">
        <v>518593.66</v>
      </c>
      <c r="I251" s="43">
        <v>518593.66</v>
      </c>
      <c r="J251" s="14"/>
      <c r="K251" s="14"/>
    </row>
    <row r="252" spans="1:11" ht="20.25" customHeight="1" outlineLevel="2" x14ac:dyDescent="0.2">
      <c r="A252" s="21" t="s">
        <v>94</v>
      </c>
      <c r="B252" s="89">
        <v>42923</v>
      </c>
      <c r="C252" s="89">
        <v>43586</v>
      </c>
      <c r="D252" s="187">
        <v>60</v>
      </c>
      <c r="E252" s="59">
        <v>2770951.32</v>
      </c>
      <c r="F252" s="14">
        <v>3557000</v>
      </c>
      <c r="G252" s="14">
        <v>45466.27</v>
      </c>
      <c r="H252" s="43">
        <v>6373417.5899999999</v>
      </c>
      <c r="I252" s="43">
        <v>6373417.5899999999</v>
      </c>
      <c r="J252" s="14"/>
      <c r="K252" s="14"/>
    </row>
    <row r="253" spans="1:11" ht="26.25" customHeight="1" outlineLevel="2" x14ac:dyDescent="0.2">
      <c r="A253" s="21" t="s">
        <v>733</v>
      </c>
      <c r="B253" s="89">
        <v>43277</v>
      </c>
      <c r="C253" s="89">
        <v>43754</v>
      </c>
      <c r="D253" s="130">
        <v>40</v>
      </c>
      <c r="E253" s="14">
        <v>652820.57999999996</v>
      </c>
      <c r="F253" s="14"/>
      <c r="G253" s="14"/>
      <c r="H253" s="43">
        <v>652820.57999999996</v>
      </c>
      <c r="I253" s="43">
        <v>652820.57999999996</v>
      </c>
      <c r="J253" s="71"/>
      <c r="K253" s="115"/>
    </row>
    <row r="254" spans="1:11" ht="26.25" customHeight="1" outlineLevel="2" x14ac:dyDescent="0.2">
      <c r="A254" s="21" t="s">
        <v>734</v>
      </c>
      <c r="B254" s="89">
        <v>43215</v>
      </c>
      <c r="C254" s="89">
        <v>43828</v>
      </c>
      <c r="D254" s="130">
        <v>60</v>
      </c>
      <c r="E254" s="14">
        <v>497521.06</v>
      </c>
      <c r="F254" s="14">
        <v>38153.589999999997</v>
      </c>
      <c r="G254" s="14"/>
      <c r="H254" s="43">
        <v>535674.65</v>
      </c>
      <c r="I254" s="43">
        <v>535674.65</v>
      </c>
      <c r="J254" s="71"/>
      <c r="K254" s="115"/>
    </row>
    <row r="255" spans="1:11" ht="26.25" customHeight="1" outlineLevel="2" x14ac:dyDescent="0.2">
      <c r="A255" s="21" t="s">
        <v>735</v>
      </c>
      <c r="B255" s="89">
        <v>43281</v>
      </c>
      <c r="C255" s="89">
        <v>43956</v>
      </c>
      <c r="D255" s="130">
        <v>10</v>
      </c>
      <c r="E255" s="14"/>
      <c r="F255" s="14"/>
      <c r="G255" s="14">
        <v>6090.61</v>
      </c>
      <c r="H255" s="43">
        <v>6090.61</v>
      </c>
      <c r="I255" s="43">
        <v>6090.61</v>
      </c>
      <c r="J255" s="71"/>
      <c r="K255" s="115"/>
    </row>
    <row r="256" spans="1:11" ht="21.75" customHeight="1" outlineLevel="2" x14ac:dyDescent="0.2">
      <c r="A256" s="21" t="s">
        <v>296</v>
      </c>
      <c r="B256" s="89">
        <v>43041</v>
      </c>
      <c r="C256" s="90">
        <v>43771</v>
      </c>
      <c r="D256" s="187">
        <v>60</v>
      </c>
      <c r="E256" s="59">
        <v>484680.09</v>
      </c>
      <c r="F256" s="14">
        <v>37965.589999999997</v>
      </c>
      <c r="G256" s="14">
        <v>7149.03</v>
      </c>
      <c r="H256" s="43">
        <v>529794.71</v>
      </c>
      <c r="I256" s="43">
        <v>529794.71</v>
      </c>
      <c r="J256" s="14"/>
      <c r="K256" s="14"/>
    </row>
    <row r="257" spans="1:36" ht="39" customHeight="1" outlineLevel="2" x14ac:dyDescent="0.2">
      <c r="A257" s="21" t="s">
        <v>297</v>
      </c>
      <c r="B257" s="89">
        <v>42979</v>
      </c>
      <c r="C257" s="90">
        <v>43709</v>
      </c>
      <c r="D257" s="187">
        <v>40</v>
      </c>
      <c r="E257" s="59">
        <v>653020</v>
      </c>
      <c r="F257" s="60"/>
      <c r="G257" s="14">
        <v>12545.77</v>
      </c>
      <c r="H257" s="43">
        <v>665565.77</v>
      </c>
      <c r="I257" s="43">
        <v>665565.77</v>
      </c>
      <c r="J257" s="14"/>
      <c r="K257" s="14"/>
    </row>
    <row r="258" spans="1:36" ht="39" customHeight="1" outlineLevel="2" x14ac:dyDescent="0.2">
      <c r="A258" s="21" t="s">
        <v>298</v>
      </c>
      <c r="B258" s="89">
        <v>42912</v>
      </c>
      <c r="C258" s="90">
        <v>43586</v>
      </c>
      <c r="D258" s="187">
        <v>40</v>
      </c>
      <c r="E258" s="14">
        <v>557792.26</v>
      </c>
      <c r="F258" s="60"/>
      <c r="G258" s="14"/>
      <c r="H258" s="43">
        <v>557792.26</v>
      </c>
      <c r="I258" s="43">
        <v>557792.26</v>
      </c>
      <c r="J258" s="14"/>
      <c r="K258" s="14"/>
    </row>
    <row r="259" spans="1:36" ht="39" customHeight="1" outlineLevel="2" x14ac:dyDescent="0.2">
      <c r="A259" s="21" t="s">
        <v>1094</v>
      </c>
      <c r="B259" s="89">
        <v>43340</v>
      </c>
      <c r="C259" s="90">
        <v>43702</v>
      </c>
      <c r="D259" s="187">
        <v>40</v>
      </c>
      <c r="E259" s="14">
        <v>2144438</v>
      </c>
      <c r="F259" s="60"/>
      <c r="G259" s="14"/>
      <c r="H259" s="43">
        <v>2144438</v>
      </c>
      <c r="I259" s="43">
        <v>2144438</v>
      </c>
      <c r="J259" s="14"/>
      <c r="K259" s="14"/>
    </row>
    <row r="260" spans="1:36" ht="39" customHeight="1" outlineLevel="2" x14ac:dyDescent="0.2">
      <c r="A260" s="21" t="s">
        <v>1095</v>
      </c>
      <c r="B260" s="89">
        <v>43312</v>
      </c>
      <c r="C260" s="90">
        <v>43991</v>
      </c>
      <c r="D260" s="187">
        <v>5</v>
      </c>
      <c r="E260" s="14"/>
      <c r="F260" s="60"/>
      <c r="G260" s="14">
        <v>14698.64</v>
      </c>
      <c r="H260" s="43">
        <v>14698.64</v>
      </c>
      <c r="I260" s="43">
        <v>14698.64</v>
      </c>
      <c r="J260" s="14"/>
      <c r="K260" s="14"/>
    </row>
    <row r="261" spans="1:36" ht="39" customHeight="1" outlineLevel="2" x14ac:dyDescent="0.2">
      <c r="A261" s="21" t="s">
        <v>1096</v>
      </c>
      <c r="B261" s="89">
        <v>43312</v>
      </c>
      <c r="C261" s="90">
        <v>43799</v>
      </c>
      <c r="D261" s="187">
        <v>5</v>
      </c>
      <c r="E261" s="14"/>
      <c r="F261" s="60"/>
      <c r="G261" s="14">
        <v>36279.64</v>
      </c>
      <c r="H261" s="43">
        <v>36279.64</v>
      </c>
      <c r="I261" s="43">
        <v>36279.64</v>
      </c>
      <c r="J261" s="14"/>
      <c r="K261" s="14"/>
    </row>
    <row r="262" spans="1:36" ht="39" customHeight="1" outlineLevel="2" x14ac:dyDescent="0.2">
      <c r="A262" s="21" t="s">
        <v>1097</v>
      </c>
      <c r="B262" s="89">
        <v>43312</v>
      </c>
      <c r="C262" s="90">
        <v>43988</v>
      </c>
      <c r="D262" s="187">
        <v>5</v>
      </c>
      <c r="E262" s="14"/>
      <c r="F262" s="60"/>
      <c r="G262" s="14">
        <v>11131.16</v>
      </c>
      <c r="H262" s="43">
        <v>11131.16</v>
      </c>
      <c r="I262" s="43">
        <v>11131.16</v>
      </c>
      <c r="J262" s="14"/>
      <c r="K262" s="14"/>
    </row>
    <row r="263" spans="1:36" s="4" customFormat="1" ht="24.75" customHeight="1" outlineLevel="2" x14ac:dyDescent="0.2">
      <c r="A263" s="22" t="s">
        <v>275</v>
      </c>
      <c r="B263" s="89">
        <v>42710</v>
      </c>
      <c r="C263" s="90">
        <v>43405</v>
      </c>
      <c r="D263" s="187">
        <v>90</v>
      </c>
      <c r="E263" s="14">
        <v>887307.79</v>
      </c>
      <c r="F263" s="60">
        <v>6463161.3600000003</v>
      </c>
      <c r="G263" s="77"/>
      <c r="H263" s="43">
        <v>7350469.1500000004</v>
      </c>
      <c r="I263" s="43">
        <v>7350469.1500000004</v>
      </c>
      <c r="J263" s="76"/>
      <c r="K263" s="76"/>
    </row>
    <row r="264" spans="1:36" s="4" customFormat="1" ht="24.75" customHeight="1" outlineLevel="2" x14ac:dyDescent="0.2">
      <c r="A264" s="22" t="s">
        <v>1098</v>
      </c>
      <c r="B264" s="89">
        <v>43312</v>
      </c>
      <c r="C264" s="90">
        <v>43962</v>
      </c>
      <c r="D264" s="187">
        <v>5</v>
      </c>
      <c r="E264" s="14"/>
      <c r="F264" s="60"/>
      <c r="G264" s="77">
        <v>30781.19</v>
      </c>
      <c r="H264" s="43">
        <v>30781.19</v>
      </c>
      <c r="I264" s="43">
        <v>30781.19</v>
      </c>
      <c r="J264" s="76"/>
      <c r="K264" s="76"/>
    </row>
    <row r="265" spans="1:36" s="4" customFormat="1" ht="24.75" customHeight="1" outlineLevel="2" x14ac:dyDescent="0.2">
      <c r="A265" s="22" t="s">
        <v>299</v>
      </c>
      <c r="B265" s="89">
        <v>42912</v>
      </c>
      <c r="C265" s="90">
        <v>43647</v>
      </c>
      <c r="D265" s="187">
        <v>30</v>
      </c>
      <c r="E265" s="14"/>
      <c r="F265" s="60">
        <v>31184.1</v>
      </c>
      <c r="G265" s="59">
        <v>34177.870000000003</v>
      </c>
      <c r="H265" s="43">
        <v>65361.97</v>
      </c>
      <c r="I265" s="43">
        <v>65361.97</v>
      </c>
      <c r="J265" s="76"/>
      <c r="K265" s="76"/>
    </row>
    <row r="266" spans="1:36" ht="39" customHeight="1" outlineLevel="2" x14ac:dyDescent="0.2">
      <c r="A266" s="22" t="s">
        <v>36</v>
      </c>
      <c r="B266" s="89">
        <v>42331</v>
      </c>
      <c r="C266" s="90">
        <v>43647</v>
      </c>
      <c r="D266" s="187">
        <v>40</v>
      </c>
      <c r="E266" s="59">
        <v>424486.65</v>
      </c>
      <c r="F266" s="14"/>
      <c r="G266" s="14">
        <v>183605.77</v>
      </c>
      <c r="H266" s="43">
        <v>608092.42000000004</v>
      </c>
      <c r="I266" s="43">
        <v>608092.42000000004</v>
      </c>
      <c r="J266" s="14"/>
      <c r="K266" s="14"/>
    </row>
    <row r="267" spans="1:36" s="4" customFormat="1" ht="15.75" customHeight="1" x14ac:dyDescent="0.2">
      <c r="A267" s="21"/>
      <c r="B267" s="89"/>
      <c r="C267" s="89"/>
      <c r="D267" s="187"/>
      <c r="E267" s="57">
        <f>SUM(E232:E266)</f>
        <v>24537628.749999996</v>
      </c>
      <c r="F267" s="57">
        <f>SUM(F232:F266)</f>
        <v>35030070.140000001</v>
      </c>
      <c r="G267" s="57">
        <f>SUM(G232:G266)</f>
        <v>922145.92</v>
      </c>
      <c r="H267" s="43">
        <f>SUM(H232:H266)</f>
        <v>60489844.80999998</v>
      </c>
      <c r="I267" s="43">
        <f t="shared" ref="I267" si="18">H267</f>
        <v>60489844.80999998</v>
      </c>
      <c r="J267" s="76"/>
      <c r="K267" s="76"/>
    </row>
    <row r="268" spans="1:36" s="4" customFormat="1" ht="15.75" customHeight="1" x14ac:dyDescent="0.2">
      <c r="A268" s="21"/>
      <c r="B268" s="89"/>
      <c r="C268" s="89"/>
      <c r="D268" s="187"/>
      <c r="E268" s="57"/>
      <c r="F268" s="57"/>
      <c r="G268" s="57"/>
      <c r="H268" s="43"/>
      <c r="I268" s="43"/>
      <c r="J268" s="76"/>
      <c r="K268" s="76"/>
    </row>
    <row r="269" spans="1:36" ht="24.75" customHeight="1" x14ac:dyDescent="0.2">
      <c r="A269" s="19" t="s">
        <v>26</v>
      </c>
      <c r="B269" s="89"/>
      <c r="C269" s="89"/>
      <c r="D269" s="130"/>
      <c r="E269" s="14"/>
      <c r="F269" s="14"/>
      <c r="G269" s="14"/>
      <c r="H269" s="48"/>
      <c r="I269" s="48"/>
      <c r="J269" s="73"/>
      <c r="K269" s="65"/>
    </row>
    <row r="270" spans="1:36" s="4" customFormat="1" ht="24" customHeight="1" x14ac:dyDescent="0.2">
      <c r="A270" s="23" t="s">
        <v>127</v>
      </c>
      <c r="B270" s="89"/>
      <c r="C270" s="90"/>
      <c r="D270" s="187"/>
      <c r="E270" s="61"/>
      <c r="F270" s="61"/>
      <c r="G270" s="14"/>
      <c r="H270" s="33"/>
      <c r="I270" s="43"/>
      <c r="J270" s="78"/>
      <c r="K270" s="78"/>
    </row>
    <row r="271" spans="1:36" s="3" customFormat="1" ht="33.75" customHeight="1" outlineLevel="1" x14ac:dyDescent="0.2">
      <c r="A271" s="149" t="s">
        <v>1099</v>
      </c>
      <c r="B271" s="108">
        <v>43343</v>
      </c>
      <c r="C271" s="107">
        <v>43465</v>
      </c>
      <c r="D271" s="188">
        <v>20</v>
      </c>
      <c r="E271" s="98">
        <v>5098.09</v>
      </c>
      <c r="F271" s="132"/>
      <c r="G271" s="132"/>
      <c r="H271" s="48">
        <f t="shared" ref="H271:H302" si="19">F271+E271+G271</f>
        <v>5098.09</v>
      </c>
      <c r="I271" s="133">
        <v>5098.09</v>
      </c>
      <c r="J271" s="163"/>
      <c r="K271" s="6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s="4" customFormat="1" ht="60" customHeight="1" outlineLevel="1" x14ac:dyDescent="0.2">
      <c r="A272" s="134" t="s">
        <v>743</v>
      </c>
      <c r="B272" s="97">
        <v>43218</v>
      </c>
      <c r="C272" s="107">
        <v>43465</v>
      </c>
      <c r="D272" s="188">
        <v>20</v>
      </c>
      <c r="E272" s="14">
        <f>I272</f>
        <v>34120.980000000003</v>
      </c>
      <c r="F272" s="14"/>
      <c r="G272" s="14"/>
      <c r="H272" s="48">
        <f t="shared" si="19"/>
        <v>34120.980000000003</v>
      </c>
      <c r="I272" s="102">
        <v>34120.980000000003</v>
      </c>
      <c r="J272" s="163"/>
      <c r="K272" s="65"/>
    </row>
    <row r="273" spans="1:36" s="26" customFormat="1" ht="39" customHeight="1" outlineLevel="1" x14ac:dyDescent="0.2">
      <c r="A273" s="134" t="s">
        <v>744</v>
      </c>
      <c r="B273" s="97">
        <v>43251</v>
      </c>
      <c r="C273" s="194" t="s">
        <v>1100</v>
      </c>
      <c r="D273" s="188">
        <v>60</v>
      </c>
      <c r="E273" s="14">
        <f>I273</f>
        <v>3943.64</v>
      </c>
      <c r="F273" s="14"/>
      <c r="G273" s="14"/>
      <c r="H273" s="48">
        <f t="shared" si="19"/>
        <v>3943.64</v>
      </c>
      <c r="I273" s="102">
        <v>3943.64</v>
      </c>
      <c r="J273" s="163"/>
      <c r="K273" s="65"/>
    </row>
    <row r="274" spans="1:36" s="26" customFormat="1" ht="47.25" customHeight="1" outlineLevel="1" x14ac:dyDescent="0.2">
      <c r="A274" s="134" t="s">
        <v>300</v>
      </c>
      <c r="B274" s="97">
        <v>43159</v>
      </c>
      <c r="C274" s="107">
        <v>43465</v>
      </c>
      <c r="D274" s="188">
        <v>20</v>
      </c>
      <c r="E274" s="14">
        <f>I274</f>
        <v>57073.93</v>
      </c>
      <c r="F274" s="14"/>
      <c r="G274" s="14"/>
      <c r="H274" s="48">
        <f t="shared" si="19"/>
        <v>57073.93</v>
      </c>
      <c r="I274" s="102">
        <v>57073.93</v>
      </c>
      <c r="J274" s="163"/>
      <c r="K274" s="65"/>
    </row>
    <row r="275" spans="1:36" s="3" customFormat="1" ht="39" customHeight="1" outlineLevel="1" x14ac:dyDescent="0.2">
      <c r="A275" s="134" t="s">
        <v>745</v>
      </c>
      <c r="B275" s="97">
        <v>43280</v>
      </c>
      <c r="C275" s="107">
        <v>43465</v>
      </c>
      <c r="D275" s="188">
        <v>40</v>
      </c>
      <c r="E275" s="14">
        <f>I275</f>
        <v>6503.51</v>
      </c>
      <c r="F275" s="14"/>
      <c r="G275" s="14"/>
      <c r="H275" s="48">
        <f t="shared" si="19"/>
        <v>6503.51</v>
      </c>
      <c r="I275" s="102">
        <v>6503.51</v>
      </c>
      <c r="J275" s="163"/>
      <c r="K275" s="6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s="3" customFormat="1" ht="39" customHeight="1" outlineLevel="1" x14ac:dyDescent="0.2">
      <c r="A276" s="149" t="s">
        <v>1101</v>
      </c>
      <c r="B276" s="97">
        <v>43343</v>
      </c>
      <c r="C276" s="107">
        <v>43465</v>
      </c>
      <c r="D276" s="188">
        <v>20</v>
      </c>
      <c r="E276" s="98">
        <v>6408.58</v>
      </c>
      <c r="F276" s="14"/>
      <c r="G276" s="14"/>
      <c r="H276" s="48">
        <f t="shared" si="19"/>
        <v>6408.58</v>
      </c>
      <c r="I276" s="102">
        <v>6408.58</v>
      </c>
      <c r="J276" s="163"/>
      <c r="K276" s="6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s="3" customFormat="1" ht="39" customHeight="1" outlineLevel="1" x14ac:dyDescent="0.2">
      <c r="A277" s="134" t="s">
        <v>301</v>
      </c>
      <c r="B277" s="97">
        <v>43151</v>
      </c>
      <c r="C277" s="107">
        <v>43465</v>
      </c>
      <c r="D277" s="188">
        <v>20</v>
      </c>
      <c r="E277" s="14">
        <f>I277</f>
        <v>45000</v>
      </c>
      <c r="F277" s="14"/>
      <c r="G277" s="14"/>
      <c r="H277" s="48">
        <f t="shared" si="19"/>
        <v>45000</v>
      </c>
      <c r="I277" s="102">
        <v>45000</v>
      </c>
      <c r="J277" s="163"/>
      <c r="K277" s="6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s="26" customFormat="1" ht="49.5" customHeight="1" outlineLevel="1" x14ac:dyDescent="0.2">
      <c r="A278" s="149" t="s">
        <v>1102</v>
      </c>
      <c r="B278" s="97">
        <v>43371</v>
      </c>
      <c r="C278" s="107">
        <v>43465</v>
      </c>
      <c r="D278" s="188">
        <v>40</v>
      </c>
      <c r="E278" s="14">
        <v>5139.1000000000004</v>
      </c>
      <c r="F278" s="14"/>
      <c r="G278" s="14"/>
      <c r="H278" s="48">
        <f t="shared" si="19"/>
        <v>5139.1000000000004</v>
      </c>
      <c r="I278" s="102">
        <v>5139.1000000000004</v>
      </c>
      <c r="J278" s="163"/>
      <c r="K278" s="65"/>
    </row>
    <row r="279" spans="1:36" s="4" customFormat="1" ht="39" customHeight="1" outlineLevel="1" x14ac:dyDescent="0.2">
      <c r="A279" s="134" t="s">
        <v>746</v>
      </c>
      <c r="B279" s="97">
        <v>43251</v>
      </c>
      <c r="C279" s="107">
        <v>43404</v>
      </c>
      <c r="D279" s="188">
        <v>90</v>
      </c>
      <c r="E279" s="14">
        <f>I279</f>
        <v>7929.94</v>
      </c>
      <c r="F279" s="14"/>
      <c r="G279" s="14"/>
      <c r="H279" s="48">
        <f t="shared" si="19"/>
        <v>7929.94</v>
      </c>
      <c r="I279" s="102">
        <v>7929.94</v>
      </c>
      <c r="J279" s="163"/>
      <c r="K279" s="65"/>
    </row>
    <row r="280" spans="1:36" s="4" customFormat="1" ht="39" customHeight="1" outlineLevel="1" x14ac:dyDescent="0.2">
      <c r="A280" s="134" t="s">
        <v>302</v>
      </c>
      <c r="B280" s="97">
        <v>43159</v>
      </c>
      <c r="C280" s="107">
        <v>43465</v>
      </c>
      <c r="D280" s="188">
        <v>50</v>
      </c>
      <c r="E280" s="14">
        <f>I280</f>
        <v>9763.2099999999991</v>
      </c>
      <c r="F280" s="14"/>
      <c r="G280" s="14"/>
      <c r="H280" s="48">
        <f t="shared" si="19"/>
        <v>9763.2099999999991</v>
      </c>
      <c r="I280" s="102">
        <v>9763.2099999999991</v>
      </c>
      <c r="J280" s="163"/>
      <c r="K280" s="65"/>
    </row>
    <row r="281" spans="1:36" s="4" customFormat="1" ht="45.75" customHeight="1" outlineLevel="1" x14ac:dyDescent="0.2">
      <c r="A281" s="134" t="s">
        <v>303</v>
      </c>
      <c r="B281" s="97">
        <v>43131</v>
      </c>
      <c r="C281" s="107">
        <v>43434</v>
      </c>
      <c r="D281" s="188">
        <v>60</v>
      </c>
      <c r="E281" s="14">
        <f>I281</f>
        <v>9239.42</v>
      </c>
      <c r="F281" s="14"/>
      <c r="G281" s="14"/>
      <c r="H281" s="48">
        <f t="shared" si="19"/>
        <v>9239.42</v>
      </c>
      <c r="I281" s="102">
        <v>9239.42</v>
      </c>
      <c r="J281" s="163"/>
      <c r="K281" s="65"/>
    </row>
    <row r="282" spans="1:36" s="4" customFormat="1" ht="45" customHeight="1" outlineLevel="1" x14ac:dyDescent="0.2">
      <c r="A282" s="134" t="s">
        <v>747</v>
      </c>
      <c r="B282" s="97">
        <v>43251</v>
      </c>
      <c r="C282" s="107">
        <v>43465</v>
      </c>
      <c r="D282" s="188">
        <v>30</v>
      </c>
      <c r="E282" s="14">
        <f>I282</f>
        <v>4361.21</v>
      </c>
      <c r="F282" s="14"/>
      <c r="G282" s="14"/>
      <c r="H282" s="48">
        <f t="shared" si="19"/>
        <v>4361.21</v>
      </c>
      <c r="I282" s="102">
        <v>4361.21</v>
      </c>
      <c r="J282" s="163"/>
      <c r="K282" s="65"/>
    </row>
    <row r="283" spans="1:36" s="4" customFormat="1" ht="39" customHeight="1" outlineLevel="1" x14ac:dyDescent="0.2">
      <c r="A283" s="134" t="s">
        <v>748</v>
      </c>
      <c r="B283" s="97">
        <v>43251</v>
      </c>
      <c r="C283" s="107">
        <v>43434</v>
      </c>
      <c r="D283" s="188">
        <v>70</v>
      </c>
      <c r="E283" s="14">
        <f>I283</f>
        <v>5905.69</v>
      </c>
      <c r="F283" s="14"/>
      <c r="G283" s="14"/>
      <c r="H283" s="48">
        <f t="shared" si="19"/>
        <v>5905.69</v>
      </c>
      <c r="I283" s="102">
        <v>5905.69</v>
      </c>
      <c r="J283" s="163"/>
      <c r="K283" s="65"/>
    </row>
    <row r="284" spans="1:36" s="4" customFormat="1" ht="39" customHeight="1" outlineLevel="1" x14ac:dyDescent="0.2">
      <c r="A284" s="149" t="s">
        <v>1103</v>
      </c>
      <c r="B284" s="97">
        <v>43343</v>
      </c>
      <c r="C284" s="107">
        <v>43404</v>
      </c>
      <c r="D284" s="188">
        <v>90</v>
      </c>
      <c r="E284" s="98">
        <v>6386.8</v>
      </c>
      <c r="F284" s="14"/>
      <c r="G284" s="14"/>
      <c r="H284" s="48">
        <f t="shared" si="19"/>
        <v>6386.8</v>
      </c>
      <c r="I284" s="102">
        <v>6386.8</v>
      </c>
      <c r="J284" s="163"/>
      <c r="K284" s="65"/>
    </row>
    <row r="285" spans="1:36" s="13" customFormat="1" ht="39" customHeight="1" outlineLevel="1" x14ac:dyDescent="0.2">
      <c r="A285" s="134" t="s">
        <v>749</v>
      </c>
      <c r="B285" s="97">
        <v>43251</v>
      </c>
      <c r="C285" s="107">
        <v>43465</v>
      </c>
      <c r="D285" s="188">
        <v>20</v>
      </c>
      <c r="E285" s="14">
        <f>I285</f>
        <v>7469.24</v>
      </c>
      <c r="F285" s="14"/>
      <c r="G285" s="14"/>
      <c r="H285" s="48">
        <f t="shared" si="19"/>
        <v>7469.24</v>
      </c>
      <c r="I285" s="102">
        <v>7469.24</v>
      </c>
      <c r="J285" s="163"/>
      <c r="K285" s="65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s="26" customFormat="1" ht="66" customHeight="1" outlineLevel="1" x14ac:dyDescent="0.2">
      <c r="A286" s="134" t="s">
        <v>304</v>
      </c>
      <c r="B286" s="97">
        <v>43189</v>
      </c>
      <c r="C286" s="107">
        <v>43465</v>
      </c>
      <c r="D286" s="188">
        <v>30</v>
      </c>
      <c r="E286" s="14">
        <f>I286</f>
        <v>23009.39</v>
      </c>
      <c r="F286" s="14"/>
      <c r="G286" s="14"/>
      <c r="H286" s="48">
        <f t="shared" si="19"/>
        <v>23009.39</v>
      </c>
      <c r="I286" s="102">
        <v>23009.39</v>
      </c>
      <c r="J286" s="163"/>
      <c r="K286" s="65"/>
    </row>
    <row r="287" spans="1:36" s="4" customFormat="1" ht="39" customHeight="1" outlineLevel="1" x14ac:dyDescent="0.2">
      <c r="A287" s="134" t="s">
        <v>305</v>
      </c>
      <c r="B287" s="97">
        <v>43189</v>
      </c>
      <c r="C287" s="107">
        <v>43465</v>
      </c>
      <c r="D287" s="188">
        <v>40</v>
      </c>
      <c r="E287" s="14">
        <f>I287</f>
        <v>8919.65</v>
      </c>
      <c r="F287" s="14"/>
      <c r="G287" s="14"/>
      <c r="H287" s="48">
        <f t="shared" si="19"/>
        <v>8919.65</v>
      </c>
      <c r="I287" s="102">
        <v>8919.65</v>
      </c>
      <c r="J287" s="163"/>
      <c r="K287" s="65"/>
    </row>
    <row r="288" spans="1:36" s="4" customFormat="1" ht="39" customHeight="1" outlineLevel="1" x14ac:dyDescent="0.2">
      <c r="A288" s="149" t="s">
        <v>1104</v>
      </c>
      <c r="B288" s="97">
        <v>43343</v>
      </c>
      <c r="C288" s="107">
        <v>43465</v>
      </c>
      <c r="D288" s="188">
        <v>20</v>
      </c>
      <c r="E288" s="98">
        <v>6700.68</v>
      </c>
      <c r="F288" s="14"/>
      <c r="G288" s="14"/>
      <c r="H288" s="48">
        <f t="shared" si="19"/>
        <v>6700.68</v>
      </c>
      <c r="I288" s="102">
        <v>6700.68</v>
      </c>
      <c r="J288" s="163"/>
      <c r="K288" s="65"/>
    </row>
    <row r="289" spans="1:36" s="4" customFormat="1" ht="55.5" customHeight="1" outlineLevel="1" x14ac:dyDescent="0.2">
      <c r="A289" s="134" t="s">
        <v>750</v>
      </c>
      <c r="B289" s="97">
        <v>43251</v>
      </c>
      <c r="C289" s="107">
        <v>43434</v>
      </c>
      <c r="D289" s="188">
        <v>70</v>
      </c>
      <c r="E289" s="14">
        <f>I289</f>
        <v>8528.64</v>
      </c>
      <c r="F289" s="14"/>
      <c r="G289" s="14"/>
      <c r="H289" s="48">
        <f t="shared" si="19"/>
        <v>8528.64</v>
      </c>
      <c r="I289" s="102">
        <v>8528.64</v>
      </c>
      <c r="J289" s="163"/>
      <c r="K289" s="65"/>
    </row>
    <row r="290" spans="1:36" s="4" customFormat="1" ht="39" customHeight="1" outlineLevel="1" x14ac:dyDescent="0.2">
      <c r="A290" s="134" t="s">
        <v>751</v>
      </c>
      <c r="B290" s="97">
        <v>43280</v>
      </c>
      <c r="C290" s="107">
        <v>43434</v>
      </c>
      <c r="D290" s="188">
        <v>50</v>
      </c>
      <c r="E290" s="14">
        <f>I290</f>
        <v>6134.12</v>
      </c>
      <c r="F290" s="14"/>
      <c r="G290" s="14"/>
      <c r="H290" s="48">
        <f t="shared" si="19"/>
        <v>6134.12</v>
      </c>
      <c r="I290" s="102">
        <v>6134.12</v>
      </c>
      <c r="J290" s="163"/>
      <c r="K290" s="65"/>
    </row>
    <row r="291" spans="1:36" s="26" customFormat="1" ht="54" customHeight="1" outlineLevel="1" x14ac:dyDescent="0.2">
      <c r="A291" s="134" t="s">
        <v>752</v>
      </c>
      <c r="B291" s="97">
        <v>43280</v>
      </c>
      <c r="C291" s="107">
        <v>43404</v>
      </c>
      <c r="D291" s="188">
        <v>40</v>
      </c>
      <c r="E291" s="14">
        <f>I291</f>
        <v>5169.2</v>
      </c>
      <c r="F291" s="14"/>
      <c r="G291" s="14"/>
      <c r="H291" s="48">
        <f t="shared" si="19"/>
        <v>5169.2</v>
      </c>
      <c r="I291" s="102">
        <v>5169.2</v>
      </c>
      <c r="J291" s="163"/>
      <c r="K291" s="65"/>
    </row>
    <row r="292" spans="1:36" s="4" customFormat="1" ht="54" customHeight="1" outlineLevel="1" x14ac:dyDescent="0.2">
      <c r="A292" s="134" t="s">
        <v>753</v>
      </c>
      <c r="B292" s="97">
        <v>43251</v>
      </c>
      <c r="C292" s="107">
        <v>43465</v>
      </c>
      <c r="D292" s="188">
        <v>20</v>
      </c>
      <c r="E292" s="14">
        <f>I292</f>
        <v>7883.64</v>
      </c>
      <c r="F292" s="14"/>
      <c r="G292" s="14"/>
      <c r="H292" s="48">
        <f t="shared" si="19"/>
        <v>7883.64</v>
      </c>
      <c r="I292" s="102">
        <v>7883.64</v>
      </c>
      <c r="J292" s="163"/>
      <c r="K292" s="65"/>
    </row>
    <row r="293" spans="1:36" s="26" customFormat="1" ht="39" customHeight="1" outlineLevel="1" x14ac:dyDescent="0.2">
      <c r="A293" s="134" t="s">
        <v>754</v>
      </c>
      <c r="B293" s="97">
        <v>43280</v>
      </c>
      <c r="C293" s="107">
        <v>43434</v>
      </c>
      <c r="D293" s="188">
        <v>65</v>
      </c>
      <c r="E293" s="14">
        <f>I293</f>
        <v>5237.01</v>
      </c>
      <c r="F293" s="14"/>
      <c r="G293" s="14"/>
      <c r="H293" s="48">
        <f t="shared" si="19"/>
        <v>5237.01</v>
      </c>
      <c r="I293" s="102">
        <v>5237.01</v>
      </c>
      <c r="J293" s="163"/>
      <c r="K293" s="65"/>
    </row>
    <row r="294" spans="1:36" s="26" customFormat="1" ht="37.5" customHeight="1" outlineLevel="1" x14ac:dyDescent="0.2">
      <c r="A294" s="149" t="s">
        <v>1105</v>
      </c>
      <c r="B294" s="97">
        <v>43371</v>
      </c>
      <c r="C294" s="107">
        <v>43465</v>
      </c>
      <c r="D294" s="188">
        <v>40</v>
      </c>
      <c r="E294" s="98">
        <v>3084.64</v>
      </c>
      <c r="F294" s="14"/>
      <c r="G294" s="14"/>
      <c r="H294" s="48">
        <f t="shared" si="19"/>
        <v>3084.64</v>
      </c>
      <c r="I294" s="102">
        <v>3084.64</v>
      </c>
      <c r="J294" s="163"/>
      <c r="K294" s="65"/>
    </row>
    <row r="295" spans="1:36" s="26" customFormat="1" ht="39" customHeight="1" outlineLevel="1" x14ac:dyDescent="0.2">
      <c r="A295" s="134" t="s">
        <v>306</v>
      </c>
      <c r="B295" s="97">
        <v>43189</v>
      </c>
      <c r="C295" s="107">
        <v>43434</v>
      </c>
      <c r="D295" s="188">
        <v>70</v>
      </c>
      <c r="E295" s="14">
        <f>I295</f>
        <v>10162.86</v>
      </c>
      <c r="F295" s="14"/>
      <c r="G295" s="14"/>
      <c r="H295" s="48">
        <f t="shared" si="19"/>
        <v>10162.86</v>
      </c>
      <c r="I295" s="102">
        <v>10162.86</v>
      </c>
      <c r="J295" s="163"/>
      <c r="K295" s="65"/>
    </row>
    <row r="296" spans="1:36" s="4" customFormat="1" ht="39" customHeight="1" outlineLevel="1" x14ac:dyDescent="0.2">
      <c r="A296" s="149" t="s">
        <v>1106</v>
      </c>
      <c r="B296" s="97">
        <v>43312</v>
      </c>
      <c r="C296" s="107">
        <v>43465</v>
      </c>
      <c r="D296" s="188">
        <v>60</v>
      </c>
      <c r="E296" s="98">
        <v>7804.17</v>
      </c>
      <c r="F296" s="14"/>
      <c r="G296" s="14"/>
      <c r="H296" s="48">
        <f t="shared" si="19"/>
        <v>7804.17</v>
      </c>
      <c r="I296" s="102">
        <v>7804.17</v>
      </c>
      <c r="J296" s="163"/>
      <c r="K296" s="65"/>
    </row>
    <row r="297" spans="1:36" s="4" customFormat="1" ht="46.5" customHeight="1" outlineLevel="1" x14ac:dyDescent="0.2">
      <c r="A297" s="149" t="s">
        <v>1107</v>
      </c>
      <c r="B297" s="97">
        <v>43312</v>
      </c>
      <c r="C297" s="107">
        <v>43465</v>
      </c>
      <c r="D297" s="188">
        <v>20</v>
      </c>
      <c r="E297" s="98">
        <v>4812.6499999999996</v>
      </c>
      <c r="F297" s="14"/>
      <c r="G297" s="14"/>
      <c r="H297" s="48">
        <f t="shared" si="19"/>
        <v>4812.6499999999996</v>
      </c>
      <c r="I297" s="102">
        <v>4812.6499999999996</v>
      </c>
      <c r="J297" s="163"/>
      <c r="K297" s="65"/>
    </row>
    <row r="298" spans="1:36" s="26" customFormat="1" ht="39" customHeight="1" outlineLevel="1" x14ac:dyDescent="0.2">
      <c r="A298" s="134" t="s">
        <v>307</v>
      </c>
      <c r="B298" s="97">
        <v>43131</v>
      </c>
      <c r="C298" s="107">
        <v>43465</v>
      </c>
      <c r="D298" s="188">
        <v>20</v>
      </c>
      <c r="E298" s="14">
        <f>I298</f>
        <v>5310.98</v>
      </c>
      <c r="F298" s="14"/>
      <c r="G298" s="14"/>
      <c r="H298" s="48">
        <f t="shared" si="19"/>
        <v>5310.98</v>
      </c>
      <c r="I298" s="102">
        <v>5310.98</v>
      </c>
      <c r="J298" s="163"/>
      <c r="K298" s="65"/>
    </row>
    <row r="299" spans="1:36" s="26" customFormat="1" ht="39" customHeight="1" outlineLevel="1" x14ac:dyDescent="0.2">
      <c r="A299" s="134" t="s">
        <v>755</v>
      </c>
      <c r="B299" s="97">
        <v>43218</v>
      </c>
      <c r="C299" s="107">
        <v>43465</v>
      </c>
      <c r="D299" s="188">
        <v>60</v>
      </c>
      <c r="E299" s="14">
        <f>I299</f>
        <v>5834.77</v>
      </c>
      <c r="F299" s="14"/>
      <c r="G299" s="14"/>
      <c r="H299" s="48">
        <f t="shared" si="19"/>
        <v>5834.77</v>
      </c>
      <c r="I299" s="102">
        <v>5834.77</v>
      </c>
      <c r="J299" s="163"/>
      <c r="K299" s="65"/>
    </row>
    <row r="300" spans="1:36" s="13" customFormat="1" ht="39" customHeight="1" outlineLevel="1" x14ac:dyDescent="0.15">
      <c r="A300" s="164" t="s">
        <v>1108</v>
      </c>
      <c r="B300" s="97">
        <v>43371</v>
      </c>
      <c r="C300" s="107">
        <v>43465</v>
      </c>
      <c r="D300" s="188">
        <v>40</v>
      </c>
      <c r="E300" s="98">
        <v>5173.0600000000004</v>
      </c>
      <c r="F300" s="14"/>
      <c r="G300" s="14"/>
      <c r="H300" s="48">
        <f t="shared" si="19"/>
        <v>5173.0600000000004</v>
      </c>
      <c r="I300" s="102">
        <v>5173.0600000000004</v>
      </c>
      <c r="J300" s="117"/>
      <c r="K300" s="117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spans="1:36" s="26" customFormat="1" ht="39" customHeight="1" outlineLevel="1" x14ac:dyDescent="0.2">
      <c r="A301" s="134" t="s">
        <v>756</v>
      </c>
      <c r="B301" s="97">
        <v>43280</v>
      </c>
      <c r="C301" s="107">
        <v>43465</v>
      </c>
      <c r="D301" s="188">
        <v>40</v>
      </c>
      <c r="E301" s="14">
        <f>I301</f>
        <v>4194.12</v>
      </c>
      <c r="F301" s="14"/>
      <c r="G301" s="14"/>
      <c r="H301" s="48">
        <f t="shared" si="19"/>
        <v>4194.12</v>
      </c>
      <c r="I301" s="102">
        <v>4194.12</v>
      </c>
      <c r="J301" s="117"/>
      <c r="K301" s="65"/>
    </row>
    <row r="302" spans="1:36" s="13" customFormat="1" ht="55.5" customHeight="1" outlineLevel="1" x14ac:dyDescent="0.2">
      <c r="A302" s="134" t="s">
        <v>757</v>
      </c>
      <c r="B302" s="97">
        <v>43251</v>
      </c>
      <c r="C302" s="107">
        <v>43465</v>
      </c>
      <c r="D302" s="188">
        <v>20</v>
      </c>
      <c r="E302" s="14">
        <f>I302</f>
        <v>7405.72</v>
      </c>
      <c r="F302" s="14"/>
      <c r="G302" s="14"/>
      <c r="H302" s="48">
        <f t="shared" si="19"/>
        <v>7405.72</v>
      </c>
      <c r="I302" s="102">
        <v>7405.72</v>
      </c>
      <c r="J302" s="163"/>
      <c r="K302" s="65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spans="1:36" s="26" customFormat="1" ht="39" customHeight="1" outlineLevel="1" x14ac:dyDescent="0.2">
      <c r="A303" s="134" t="s">
        <v>758</v>
      </c>
      <c r="B303" s="97">
        <v>43218</v>
      </c>
      <c r="C303" s="107">
        <v>43465</v>
      </c>
      <c r="D303" s="188">
        <v>20</v>
      </c>
      <c r="E303" s="14">
        <f>I303</f>
        <v>4361.21</v>
      </c>
      <c r="F303" s="14"/>
      <c r="G303" s="14"/>
      <c r="H303" s="48">
        <f t="shared" ref="H303:H334" si="20">F303+E303+G303</f>
        <v>4361.21</v>
      </c>
      <c r="I303" s="102">
        <v>4361.21</v>
      </c>
      <c r="J303" s="163"/>
      <c r="K303" s="65"/>
    </row>
    <row r="304" spans="1:36" s="4" customFormat="1" ht="39" customHeight="1" outlineLevel="1" x14ac:dyDescent="0.2">
      <c r="A304" s="134" t="s">
        <v>779</v>
      </c>
      <c r="B304" s="195">
        <v>43280</v>
      </c>
      <c r="C304" s="107">
        <v>43465</v>
      </c>
      <c r="D304" s="188">
        <v>20</v>
      </c>
      <c r="E304" s="14">
        <f>I304</f>
        <v>6178.34</v>
      </c>
      <c r="F304" s="14"/>
      <c r="G304" s="14"/>
      <c r="H304" s="48">
        <f t="shared" si="20"/>
        <v>6178.34</v>
      </c>
      <c r="I304" s="102">
        <v>6178.34</v>
      </c>
      <c r="J304" s="163"/>
      <c r="K304" s="65"/>
    </row>
    <row r="305" spans="1:36" s="4" customFormat="1" ht="39" customHeight="1" outlineLevel="1" x14ac:dyDescent="0.2">
      <c r="A305" s="134" t="s">
        <v>128</v>
      </c>
      <c r="B305" s="97">
        <v>42824</v>
      </c>
      <c r="C305" s="107">
        <v>43404</v>
      </c>
      <c r="D305" s="188">
        <v>60</v>
      </c>
      <c r="E305" s="14">
        <f>I305</f>
        <v>37128.949999999997</v>
      </c>
      <c r="F305" s="14"/>
      <c r="G305" s="14"/>
      <c r="H305" s="48">
        <f t="shared" si="20"/>
        <v>37128.949999999997</v>
      </c>
      <c r="I305" s="102">
        <v>37128.949999999997</v>
      </c>
      <c r="J305" s="163"/>
      <c r="K305" s="65"/>
    </row>
    <row r="306" spans="1:36" s="13" customFormat="1" ht="39" customHeight="1" outlineLevel="1" x14ac:dyDescent="0.2">
      <c r="A306" s="134" t="s">
        <v>38</v>
      </c>
      <c r="B306" s="97"/>
      <c r="C306" s="107" t="s">
        <v>1100</v>
      </c>
      <c r="D306" s="188">
        <v>40</v>
      </c>
      <c r="E306" s="14">
        <v>13943.55</v>
      </c>
      <c r="F306" s="14"/>
      <c r="G306" s="14"/>
      <c r="H306" s="48">
        <f t="shared" si="20"/>
        <v>13943.55</v>
      </c>
      <c r="I306" s="102">
        <v>13943.55</v>
      </c>
      <c r="J306" s="163"/>
      <c r="K306" s="65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spans="1:36" s="4" customFormat="1" ht="39" customHeight="1" outlineLevel="1" x14ac:dyDescent="0.2">
      <c r="A307" s="134" t="s">
        <v>41</v>
      </c>
      <c r="B307" s="97">
        <v>43218</v>
      </c>
      <c r="C307" s="107">
        <v>43434</v>
      </c>
      <c r="D307" s="188">
        <v>40</v>
      </c>
      <c r="E307" s="14">
        <f>I307-F307</f>
        <v>36445.300000000003</v>
      </c>
      <c r="F307" s="14">
        <v>45000</v>
      </c>
      <c r="G307" s="14"/>
      <c r="H307" s="48">
        <f t="shared" si="20"/>
        <v>81445.3</v>
      </c>
      <c r="I307" s="102">
        <v>81445.3</v>
      </c>
      <c r="J307" s="163"/>
      <c r="K307" s="65"/>
    </row>
    <row r="308" spans="1:36" s="4" customFormat="1" ht="46.5" customHeight="1" outlineLevel="1" x14ac:dyDescent="0.2">
      <c r="A308" s="134" t="s">
        <v>129</v>
      </c>
      <c r="B308" s="97">
        <v>42551</v>
      </c>
      <c r="C308" s="107">
        <v>43465</v>
      </c>
      <c r="D308" s="188">
        <v>20</v>
      </c>
      <c r="E308" s="14">
        <f>I308</f>
        <v>3772.34</v>
      </c>
      <c r="F308" s="14"/>
      <c r="G308" s="14"/>
      <c r="H308" s="48">
        <f t="shared" si="20"/>
        <v>3772.34</v>
      </c>
      <c r="I308" s="102">
        <v>3772.34</v>
      </c>
      <c r="J308" s="163"/>
      <c r="K308" s="65"/>
    </row>
    <row r="309" spans="1:36" s="4" customFormat="1" ht="39" customHeight="1" outlineLevel="1" x14ac:dyDescent="0.2">
      <c r="A309" s="134" t="s">
        <v>759</v>
      </c>
      <c r="B309" s="97">
        <v>43251</v>
      </c>
      <c r="C309" s="107">
        <v>43465</v>
      </c>
      <c r="D309" s="188">
        <v>20</v>
      </c>
      <c r="E309" s="14">
        <f>I309</f>
        <v>4808.8900000000003</v>
      </c>
      <c r="F309" s="14"/>
      <c r="G309" s="14"/>
      <c r="H309" s="48">
        <f t="shared" si="20"/>
        <v>4808.8900000000003</v>
      </c>
      <c r="I309" s="102">
        <v>4808.8900000000003</v>
      </c>
      <c r="J309" s="163"/>
      <c r="K309" s="65"/>
    </row>
    <row r="310" spans="1:36" s="26" customFormat="1" ht="39" customHeight="1" outlineLevel="1" x14ac:dyDescent="0.2">
      <c r="A310" s="149" t="s">
        <v>1109</v>
      </c>
      <c r="B310" s="97">
        <v>43312</v>
      </c>
      <c r="C310" s="107">
        <v>43465</v>
      </c>
      <c r="D310" s="158">
        <v>20</v>
      </c>
      <c r="E310" s="98">
        <v>8636.49</v>
      </c>
      <c r="F310" s="94"/>
      <c r="G310" s="94"/>
      <c r="H310" s="48">
        <f t="shared" si="20"/>
        <v>8636.49</v>
      </c>
      <c r="I310" s="102">
        <v>8636.49</v>
      </c>
      <c r="J310" s="163"/>
      <c r="K310" s="65"/>
    </row>
    <row r="311" spans="1:36" s="4" customFormat="1" ht="39" customHeight="1" outlineLevel="1" x14ac:dyDescent="0.2">
      <c r="A311" s="149" t="s">
        <v>1110</v>
      </c>
      <c r="B311" s="97">
        <v>43343</v>
      </c>
      <c r="C311" s="107">
        <v>43465</v>
      </c>
      <c r="D311" s="158">
        <v>20</v>
      </c>
      <c r="E311" s="98">
        <v>6019.52</v>
      </c>
      <c r="F311" s="94"/>
      <c r="G311" s="94"/>
      <c r="H311" s="48">
        <f t="shared" si="20"/>
        <v>6019.52</v>
      </c>
      <c r="I311" s="102">
        <v>6019.52</v>
      </c>
      <c r="J311" s="163"/>
      <c r="K311" s="65"/>
    </row>
    <row r="312" spans="1:36" s="4" customFormat="1" ht="39" customHeight="1" outlineLevel="1" x14ac:dyDescent="0.2">
      <c r="A312" s="149" t="s">
        <v>1111</v>
      </c>
      <c r="B312" s="97">
        <v>43343</v>
      </c>
      <c r="C312" s="107">
        <v>43465</v>
      </c>
      <c r="D312" s="188">
        <v>40</v>
      </c>
      <c r="E312" s="98">
        <v>5493.05</v>
      </c>
      <c r="F312" s="14"/>
      <c r="G312" s="14"/>
      <c r="H312" s="48">
        <f t="shared" si="20"/>
        <v>5493.05</v>
      </c>
      <c r="I312" s="102">
        <v>5493.05</v>
      </c>
      <c r="J312" s="163"/>
      <c r="K312" s="65"/>
    </row>
    <row r="313" spans="1:36" s="4" customFormat="1" ht="39" customHeight="1" outlineLevel="1" x14ac:dyDescent="0.2">
      <c r="A313" s="134" t="s">
        <v>207</v>
      </c>
      <c r="B313" s="97">
        <v>43039</v>
      </c>
      <c r="C313" s="107">
        <v>43465</v>
      </c>
      <c r="D313" s="188">
        <v>20</v>
      </c>
      <c r="E313" s="14">
        <f>I313</f>
        <v>12581.73</v>
      </c>
      <c r="F313" s="14"/>
      <c r="G313" s="14"/>
      <c r="H313" s="48">
        <f t="shared" si="20"/>
        <v>12581.73</v>
      </c>
      <c r="I313" s="102">
        <v>12581.73</v>
      </c>
      <c r="J313" s="163"/>
      <c r="K313" s="65"/>
    </row>
    <row r="314" spans="1:36" s="13" customFormat="1" ht="39" customHeight="1" outlineLevel="1" x14ac:dyDescent="0.2">
      <c r="A314" s="134" t="s">
        <v>130</v>
      </c>
      <c r="B314" s="97">
        <v>42643</v>
      </c>
      <c r="C314" s="107">
        <v>43465</v>
      </c>
      <c r="D314" s="188">
        <v>50</v>
      </c>
      <c r="E314" s="14">
        <f>I314</f>
        <v>28772.34</v>
      </c>
      <c r="F314" s="14"/>
      <c r="G314" s="14"/>
      <c r="H314" s="48">
        <f t="shared" si="20"/>
        <v>28772.34</v>
      </c>
      <c r="I314" s="102">
        <v>28772.34</v>
      </c>
      <c r="J314" s="163"/>
      <c r="K314" s="65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spans="1:36" s="26" customFormat="1" ht="39" customHeight="1" outlineLevel="1" x14ac:dyDescent="0.2">
      <c r="A315" s="134" t="s">
        <v>760</v>
      </c>
      <c r="B315" s="97">
        <v>43209</v>
      </c>
      <c r="C315" s="107">
        <v>43465</v>
      </c>
      <c r="D315" s="188">
        <v>20</v>
      </c>
      <c r="E315" s="14">
        <f>I315</f>
        <v>51882.35</v>
      </c>
      <c r="F315" s="14"/>
      <c r="G315" s="14"/>
      <c r="H315" s="48">
        <f t="shared" si="20"/>
        <v>51882.35</v>
      </c>
      <c r="I315" s="102">
        <v>51882.35</v>
      </c>
      <c r="J315" s="163"/>
      <c r="K315" s="65"/>
    </row>
    <row r="316" spans="1:36" s="26" customFormat="1" ht="39" customHeight="1" outlineLevel="1" x14ac:dyDescent="0.2">
      <c r="A316" s="134" t="s">
        <v>308</v>
      </c>
      <c r="B316" s="97">
        <v>43039</v>
      </c>
      <c r="C316" s="107">
        <v>43465</v>
      </c>
      <c r="D316" s="188">
        <v>40</v>
      </c>
      <c r="E316" s="14">
        <f>I316</f>
        <v>16945.7</v>
      </c>
      <c r="F316" s="14"/>
      <c r="G316" s="14"/>
      <c r="H316" s="48">
        <f t="shared" si="20"/>
        <v>16945.7</v>
      </c>
      <c r="I316" s="102">
        <v>16945.7</v>
      </c>
      <c r="J316" s="163"/>
      <c r="K316" s="65"/>
    </row>
    <row r="317" spans="1:36" s="4" customFormat="1" ht="39" customHeight="1" outlineLevel="1" x14ac:dyDescent="0.2">
      <c r="A317" s="134" t="s">
        <v>208</v>
      </c>
      <c r="B317" s="97">
        <v>43463</v>
      </c>
      <c r="C317" s="107">
        <v>43464</v>
      </c>
      <c r="D317" s="188">
        <v>60</v>
      </c>
      <c r="E317" s="14">
        <f>I317</f>
        <v>7463.45</v>
      </c>
      <c r="F317" s="14"/>
      <c r="G317" s="14"/>
      <c r="H317" s="48">
        <f t="shared" si="20"/>
        <v>7463.45</v>
      </c>
      <c r="I317" s="102">
        <v>7463.45</v>
      </c>
      <c r="J317" s="163"/>
      <c r="K317" s="65"/>
    </row>
    <row r="318" spans="1:36" s="4" customFormat="1" ht="39" customHeight="1" outlineLevel="1" x14ac:dyDescent="0.2">
      <c r="A318" s="149" t="s">
        <v>1112</v>
      </c>
      <c r="B318" s="97">
        <v>43343</v>
      </c>
      <c r="C318" s="107">
        <v>43465</v>
      </c>
      <c r="D318" s="188">
        <v>60</v>
      </c>
      <c r="E318" s="98">
        <v>5739.65</v>
      </c>
      <c r="F318" s="14"/>
      <c r="G318" s="14"/>
      <c r="H318" s="48">
        <f t="shared" si="20"/>
        <v>5739.65</v>
      </c>
      <c r="I318" s="102">
        <v>5739.65</v>
      </c>
      <c r="J318" s="163"/>
      <c r="K318" s="65"/>
    </row>
    <row r="319" spans="1:36" s="26" customFormat="1" ht="39" customHeight="1" outlineLevel="1" x14ac:dyDescent="0.2">
      <c r="A319" s="134" t="s">
        <v>309</v>
      </c>
      <c r="B319" s="97">
        <v>43189</v>
      </c>
      <c r="C319" s="107">
        <v>43465</v>
      </c>
      <c r="D319" s="188">
        <v>20</v>
      </c>
      <c r="E319" s="14">
        <f>I319</f>
        <v>5604.42</v>
      </c>
      <c r="F319" s="14"/>
      <c r="G319" s="14"/>
      <c r="H319" s="48">
        <f t="shared" si="20"/>
        <v>5604.42</v>
      </c>
      <c r="I319" s="102">
        <v>5604.42</v>
      </c>
      <c r="J319" s="163"/>
      <c r="K319" s="65"/>
    </row>
    <row r="320" spans="1:36" s="26" customFormat="1" ht="52.5" customHeight="1" outlineLevel="1" x14ac:dyDescent="0.2">
      <c r="A320" s="134" t="s">
        <v>42</v>
      </c>
      <c r="B320" s="97"/>
      <c r="C320" s="107">
        <v>43465</v>
      </c>
      <c r="D320" s="188">
        <v>20</v>
      </c>
      <c r="E320" s="14">
        <f>I320</f>
        <v>30509.1</v>
      </c>
      <c r="F320" s="14"/>
      <c r="G320" s="14"/>
      <c r="H320" s="48">
        <f t="shared" si="20"/>
        <v>30509.1</v>
      </c>
      <c r="I320" s="102">
        <v>30509.1</v>
      </c>
      <c r="J320" s="163"/>
      <c r="K320" s="65"/>
    </row>
    <row r="321" spans="1:39" s="3" customFormat="1" ht="48.75" customHeight="1" outlineLevel="1" x14ac:dyDescent="0.2">
      <c r="A321" s="164" t="s">
        <v>761</v>
      </c>
      <c r="B321" s="97">
        <v>43251</v>
      </c>
      <c r="C321" s="107">
        <v>43465</v>
      </c>
      <c r="D321" s="188">
        <v>20</v>
      </c>
      <c r="E321" s="98">
        <v>4361.21</v>
      </c>
      <c r="F321" s="14"/>
      <c r="G321" s="14"/>
      <c r="H321" s="48">
        <f t="shared" si="20"/>
        <v>4361.21</v>
      </c>
      <c r="I321" s="102">
        <v>4361.21</v>
      </c>
      <c r="J321" s="163"/>
      <c r="K321" s="6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9" s="10" customFormat="1" ht="39" customHeight="1" outlineLevel="1" x14ac:dyDescent="0.2">
      <c r="A322" s="149" t="s">
        <v>1113</v>
      </c>
      <c r="B322" s="97">
        <v>43343</v>
      </c>
      <c r="C322" s="107">
        <v>43465</v>
      </c>
      <c r="D322" s="188">
        <v>20</v>
      </c>
      <c r="E322" s="98">
        <v>4383.54</v>
      </c>
      <c r="F322" s="14"/>
      <c r="G322" s="14"/>
      <c r="H322" s="48">
        <f t="shared" si="20"/>
        <v>4383.54</v>
      </c>
      <c r="I322" s="102">
        <v>4383.54</v>
      </c>
      <c r="J322" s="163"/>
      <c r="K322" s="65"/>
      <c r="L322" s="8"/>
      <c r="M322" s="8"/>
      <c r="N322" s="8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</row>
    <row r="323" spans="1:39" s="26" customFormat="1" ht="39" customHeight="1" outlineLevel="1" x14ac:dyDescent="0.2">
      <c r="A323" s="134" t="s">
        <v>762</v>
      </c>
      <c r="B323" s="97">
        <v>43251</v>
      </c>
      <c r="C323" s="107">
        <v>43465</v>
      </c>
      <c r="D323" s="188">
        <v>20</v>
      </c>
      <c r="E323" s="14">
        <f>I323</f>
        <v>7469.24</v>
      </c>
      <c r="F323" s="14"/>
      <c r="G323" s="14"/>
      <c r="H323" s="48">
        <f t="shared" si="20"/>
        <v>7469.24</v>
      </c>
      <c r="I323" s="102">
        <v>7469.24</v>
      </c>
      <c r="J323" s="163"/>
      <c r="K323" s="65"/>
    </row>
    <row r="324" spans="1:39" s="10" customFormat="1" ht="39" customHeight="1" outlineLevel="1" x14ac:dyDescent="0.2">
      <c r="A324" s="134" t="s">
        <v>763</v>
      </c>
      <c r="B324" s="97">
        <v>43251</v>
      </c>
      <c r="C324" s="107">
        <v>43465</v>
      </c>
      <c r="D324" s="188">
        <v>40</v>
      </c>
      <c r="E324" s="14">
        <f>I324</f>
        <v>5750.97</v>
      </c>
      <c r="F324" s="14"/>
      <c r="G324" s="14"/>
      <c r="H324" s="48">
        <f t="shared" si="20"/>
        <v>5750.97</v>
      </c>
      <c r="I324" s="102">
        <v>5750.97</v>
      </c>
      <c r="J324" s="163"/>
      <c r="K324" s="65"/>
      <c r="L324" s="8"/>
      <c r="M324" s="8"/>
      <c r="N324" s="8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</row>
    <row r="325" spans="1:39" s="10" customFormat="1" ht="39" customHeight="1" outlineLevel="1" x14ac:dyDescent="0.2">
      <c r="A325" s="149" t="s">
        <v>1114</v>
      </c>
      <c r="B325" s="97">
        <v>43343</v>
      </c>
      <c r="C325" s="107">
        <v>43465</v>
      </c>
      <c r="D325" s="188">
        <v>40</v>
      </c>
      <c r="E325" s="98">
        <v>6921.15</v>
      </c>
      <c r="F325" s="14"/>
      <c r="G325" s="14"/>
      <c r="H325" s="48">
        <f t="shared" si="20"/>
        <v>6921.15</v>
      </c>
      <c r="I325" s="102">
        <v>6921.15</v>
      </c>
      <c r="J325" s="163"/>
      <c r="K325" s="65"/>
      <c r="L325" s="8"/>
      <c r="M325" s="8"/>
      <c r="N325" s="8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</row>
    <row r="326" spans="1:39" s="10" customFormat="1" ht="39" customHeight="1" outlineLevel="1" x14ac:dyDescent="0.2">
      <c r="A326" s="134" t="s">
        <v>764</v>
      </c>
      <c r="B326" s="97">
        <v>43218</v>
      </c>
      <c r="C326" s="107">
        <v>43465</v>
      </c>
      <c r="D326" s="188">
        <v>20</v>
      </c>
      <c r="E326" s="14">
        <f>I326</f>
        <v>6018.82</v>
      </c>
      <c r="F326" s="14"/>
      <c r="G326" s="14"/>
      <c r="H326" s="48">
        <f t="shared" si="20"/>
        <v>6018.82</v>
      </c>
      <c r="I326" s="102">
        <v>6018.82</v>
      </c>
      <c r="J326" s="163"/>
      <c r="K326" s="65"/>
      <c r="L326" s="8"/>
      <c r="M326" s="8"/>
      <c r="N326" s="8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</row>
    <row r="327" spans="1:39" s="10" customFormat="1" ht="39" customHeight="1" outlineLevel="1" x14ac:dyDescent="0.2">
      <c r="A327" s="134" t="s">
        <v>39</v>
      </c>
      <c r="B327" s="97"/>
      <c r="C327" s="107">
        <v>43465</v>
      </c>
      <c r="D327" s="188">
        <v>20</v>
      </c>
      <c r="E327" s="14">
        <f>I327</f>
        <v>51583.59</v>
      </c>
      <c r="F327" s="14"/>
      <c r="G327" s="14"/>
      <c r="H327" s="48">
        <f t="shared" si="20"/>
        <v>51583.59</v>
      </c>
      <c r="I327" s="102">
        <v>51583.59</v>
      </c>
      <c r="J327" s="163"/>
      <c r="K327" s="65"/>
      <c r="L327" s="8"/>
      <c r="M327" s="8"/>
      <c r="N327" s="8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</row>
    <row r="328" spans="1:39" s="10" customFormat="1" ht="39" customHeight="1" outlineLevel="1" x14ac:dyDescent="0.2">
      <c r="A328" s="134" t="s">
        <v>765</v>
      </c>
      <c r="B328" s="97">
        <v>43251</v>
      </c>
      <c r="C328" s="107">
        <v>43465</v>
      </c>
      <c r="D328" s="188">
        <v>40</v>
      </c>
      <c r="E328" s="14">
        <f>I328</f>
        <v>4358.4799999999996</v>
      </c>
      <c r="F328" s="14"/>
      <c r="G328" s="14"/>
      <c r="H328" s="48">
        <f t="shared" si="20"/>
        <v>4358.4799999999996</v>
      </c>
      <c r="I328" s="102">
        <v>4358.4799999999996</v>
      </c>
      <c r="J328" s="117"/>
      <c r="K328" s="117"/>
      <c r="L328" s="8"/>
      <c r="M328" s="8"/>
      <c r="N328" s="8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</row>
    <row r="329" spans="1:39" s="10" customFormat="1" ht="39" customHeight="1" outlineLevel="1" x14ac:dyDescent="0.2">
      <c r="A329" s="134" t="s">
        <v>43</v>
      </c>
      <c r="B329" s="97"/>
      <c r="C329" s="107">
        <v>43465</v>
      </c>
      <c r="D329" s="188">
        <v>40</v>
      </c>
      <c r="E329" s="14">
        <f>I329</f>
        <v>12161.83</v>
      </c>
      <c r="F329" s="14"/>
      <c r="G329" s="14"/>
      <c r="H329" s="48">
        <f t="shared" si="20"/>
        <v>12161.83</v>
      </c>
      <c r="I329" s="102">
        <v>12161.83</v>
      </c>
      <c r="J329" s="163"/>
      <c r="K329" s="65"/>
      <c r="L329" s="8"/>
      <c r="M329" s="8"/>
      <c r="N329" s="8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</row>
    <row r="330" spans="1:39" s="10" customFormat="1" ht="39" customHeight="1" outlineLevel="1" x14ac:dyDescent="0.2">
      <c r="A330" s="149" t="s">
        <v>1115</v>
      </c>
      <c r="B330" s="97">
        <v>43343</v>
      </c>
      <c r="C330" s="107">
        <v>43465</v>
      </c>
      <c r="D330" s="188">
        <v>20</v>
      </c>
      <c r="E330" s="98">
        <v>4552.7</v>
      </c>
      <c r="F330" s="95"/>
      <c r="G330" s="95"/>
      <c r="H330" s="48">
        <f t="shared" si="20"/>
        <v>4552.7</v>
      </c>
      <c r="I330" s="102">
        <v>4552.7</v>
      </c>
      <c r="J330" s="117"/>
      <c r="K330" s="117"/>
      <c r="L330" s="8"/>
      <c r="M330" s="8"/>
      <c r="N330" s="8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</row>
    <row r="331" spans="1:39" s="26" customFormat="1" ht="39" customHeight="1" outlineLevel="1" x14ac:dyDescent="0.2">
      <c r="A331" s="134" t="s">
        <v>0</v>
      </c>
      <c r="B331" s="97"/>
      <c r="C331" s="107">
        <v>43465</v>
      </c>
      <c r="D331" s="188">
        <v>70</v>
      </c>
      <c r="E331" s="14">
        <f>I331</f>
        <v>77164.960000000006</v>
      </c>
      <c r="F331" s="14"/>
      <c r="G331" s="14"/>
      <c r="H331" s="48">
        <f t="shared" si="20"/>
        <v>77164.960000000006</v>
      </c>
      <c r="I331" s="102">
        <v>77164.960000000006</v>
      </c>
      <c r="J331" s="163"/>
      <c r="K331" s="65"/>
    </row>
    <row r="332" spans="1:39" s="10" customFormat="1" ht="39" customHeight="1" outlineLevel="1" x14ac:dyDescent="0.2">
      <c r="A332" s="134" t="s">
        <v>766</v>
      </c>
      <c r="B332" s="97">
        <v>43251</v>
      </c>
      <c r="C332" s="107">
        <v>43465</v>
      </c>
      <c r="D332" s="188">
        <v>40</v>
      </c>
      <c r="E332" s="14">
        <f>I332</f>
        <v>4877.68</v>
      </c>
      <c r="F332" s="14"/>
      <c r="G332" s="14"/>
      <c r="H332" s="48">
        <f t="shared" si="20"/>
        <v>4877.68</v>
      </c>
      <c r="I332" s="102">
        <v>4877.68</v>
      </c>
      <c r="J332" s="163"/>
      <c r="K332" s="65"/>
      <c r="L332" s="8"/>
      <c r="M332" s="8"/>
      <c r="N332" s="8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</row>
    <row r="333" spans="1:39" s="4" customFormat="1" ht="39" customHeight="1" outlineLevel="1" x14ac:dyDescent="0.2">
      <c r="A333" s="149" t="s">
        <v>1116</v>
      </c>
      <c r="B333" s="97">
        <v>43371</v>
      </c>
      <c r="C333" s="107">
        <v>43404</v>
      </c>
      <c r="D333" s="188">
        <v>80</v>
      </c>
      <c r="E333" s="98">
        <v>3248.72</v>
      </c>
      <c r="F333" s="14"/>
      <c r="G333" s="14"/>
      <c r="H333" s="48">
        <f t="shared" si="20"/>
        <v>3248.72</v>
      </c>
      <c r="I333" s="102">
        <v>3248.72</v>
      </c>
      <c r="J333" s="163"/>
      <c r="K333" s="65"/>
    </row>
    <row r="334" spans="1:39" s="10" customFormat="1" ht="39" customHeight="1" outlineLevel="1" x14ac:dyDescent="0.2">
      <c r="A334" s="134" t="s">
        <v>310</v>
      </c>
      <c r="B334" s="97">
        <v>43131</v>
      </c>
      <c r="C334" s="107">
        <v>43465</v>
      </c>
      <c r="D334" s="188">
        <v>40</v>
      </c>
      <c r="E334" s="14">
        <f t="shared" ref="E334:E339" si="21">I334</f>
        <v>7469.24</v>
      </c>
      <c r="F334" s="14"/>
      <c r="G334" s="14"/>
      <c r="H334" s="48">
        <f t="shared" si="20"/>
        <v>7469.24</v>
      </c>
      <c r="I334" s="102">
        <v>7469.24</v>
      </c>
      <c r="J334" s="163"/>
      <c r="K334" s="65"/>
      <c r="L334" s="8"/>
      <c r="M334" s="8"/>
      <c r="N334" s="8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</row>
    <row r="335" spans="1:39" s="4" customFormat="1" ht="54" customHeight="1" outlineLevel="1" x14ac:dyDescent="0.2">
      <c r="A335" s="134" t="s">
        <v>209</v>
      </c>
      <c r="B335" s="97">
        <v>43039</v>
      </c>
      <c r="C335" s="107">
        <v>43465</v>
      </c>
      <c r="D335" s="188">
        <v>20</v>
      </c>
      <c r="E335" s="14">
        <f t="shared" si="21"/>
        <v>3000</v>
      </c>
      <c r="F335" s="14"/>
      <c r="G335" s="14"/>
      <c r="H335" s="48">
        <f t="shared" ref="H335:H366" si="22">F335+E335+G335</f>
        <v>3000</v>
      </c>
      <c r="I335" s="102">
        <v>3000</v>
      </c>
      <c r="J335" s="163"/>
      <c r="K335" s="65"/>
    </row>
    <row r="336" spans="1:39" s="26" customFormat="1" ht="39" customHeight="1" outlineLevel="1" x14ac:dyDescent="0.2">
      <c r="A336" s="134" t="s">
        <v>767</v>
      </c>
      <c r="B336" s="97">
        <v>43218</v>
      </c>
      <c r="C336" s="107">
        <v>43404</v>
      </c>
      <c r="D336" s="188">
        <v>90</v>
      </c>
      <c r="E336" s="14">
        <f t="shared" si="21"/>
        <v>54126.85</v>
      </c>
      <c r="F336" s="14"/>
      <c r="G336" s="14"/>
      <c r="H336" s="48">
        <f t="shared" si="22"/>
        <v>54126.85</v>
      </c>
      <c r="I336" s="102">
        <v>54126.85</v>
      </c>
      <c r="J336" s="163"/>
      <c r="K336" s="65"/>
    </row>
    <row r="337" spans="1:39" s="26" customFormat="1" ht="39" customHeight="1" outlineLevel="1" x14ac:dyDescent="0.2">
      <c r="A337" s="134" t="s">
        <v>311</v>
      </c>
      <c r="B337" s="195">
        <v>43189</v>
      </c>
      <c r="C337" s="107" t="s">
        <v>1100</v>
      </c>
      <c r="D337" s="188">
        <v>60</v>
      </c>
      <c r="E337" s="14">
        <f t="shared" si="21"/>
        <v>5572.87</v>
      </c>
      <c r="F337" s="14"/>
      <c r="G337" s="14"/>
      <c r="H337" s="48">
        <f t="shared" si="22"/>
        <v>5572.87</v>
      </c>
      <c r="I337" s="102">
        <v>5572.87</v>
      </c>
      <c r="J337" s="163"/>
      <c r="K337" s="65"/>
    </row>
    <row r="338" spans="1:39" s="26" customFormat="1" ht="50.25" customHeight="1" outlineLevel="1" x14ac:dyDescent="0.2">
      <c r="A338" s="134" t="s">
        <v>210</v>
      </c>
      <c r="B338" s="195">
        <v>43098</v>
      </c>
      <c r="C338" s="107">
        <v>43465</v>
      </c>
      <c r="D338" s="188">
        <v>60</v>
      </c>
      <c r="E338" s="14">
        <f t="shared" si="21"/>
        <v>5572.87</v>
      </c>
      <c r="F338" s="14"/>
      <c r="G338" s="14"/>
      <c r="H338" s="48">
        <f t="shared" si="22"/>
        <v>5572.87</v>
      </c>
      <c r="I338" s="102">
        <v>5572.87</v>
      </c>
      <c r="J338" s="163"/>
      <c r="K338" s="65"/>
    </row>
    <row r="339" spans="1:39" s="4" customFormat="1" ht="52.5" customHeight="1" outlineLevel="1" x14ac:dyDescent="0.2">
      <c r="A339" s="134" t="s">
        <v>312</v>
      </c>
      <c r="B339" s="195">
        <v>43189</v>
      </c>
      <c r="C339" s="107">
        <v>43465</v>
      </c>
      <c r="D339" s="188">
        <v>50</v>
      </c>
      <c r="E339" s="14">
        <f t="shared" si="21"/>
        <v>4982.8100000000004</v>
      </c>
      <c r="F339" s="14"/>
      <c r="G339" s="14"/>
      <c r="H339" s="48">
        <f t="shared" si="22"/>
        <v>4982.8100000000004</v>
      </c>
      <c r="I339" s="102">
        <v>4982.8100000000004</v>
      </c>
      <c r="J339" s="163"/>
      <c r="K339" s="65"/>
    </row>
    <row r="340" spans="1:39" s="26" customFormat="1" ht="39" customHeight="1" outlineLevel="1" x14ac:dyDescent="0.2">
      <c r="A340" s="149" t="s">
        <v>1117</v>
      </c>
      <c r="B340" s="195">
        <v>43343</v>
      </c>
      <c r="C340" s="107">
        <v>43465</v>
      </c>
      <c r="D340" s="188">
        <v>50</v>
      </c>
      <c r="E340" s="98">
        <v>3888.21</v>
      </c>
      <c r="F340" s="14"/>
      <c r="G340" s="14"/>
      <c r="H340" s="48">
        <f t="shared" si="22"/>
        <v>3888.21</v>
      </c>
      <c r="I340" s="102">
        <v>3888.21</v>
      </c>
      <c r="J340" s="163"/>
      <c r="K340" s="65"/>
    </row>
    <row r="341" spans="1:39" s="10" customFormat="1" ht="39" customHeight="1" outlineLevel="1" x14ac:dyDescent="0.2">
      <c r="A341" s="134" t="s">
        <v>768</v>
      </c>
      <c r="B341" s="195">
        <v>43218</v>
      </c>
      <c r="C341" s="107">
        <v>43404</v>
      </c>
      <c r="D341" s="188">
        <v>90</v>
      </c>
      <c r="E341" s="14">
        <f>I341</f>
        <v>9334.0499999999993</v>
      </c>
      <c r="F341" s="14"/>
      <c r="G341" s="14"/>
      <c r="H341" s="48">
        <f t="shared" si="22"/>
        <v>9334.0499999999993</v>
      </c>
      <c r="I341" s="102">
        <v>9334.0499999999993</v>
      </c>
      <c r="J341" s="163"/>
      <c r="K341" s="65"/>
      <c r="L341" s="8"/>
      <c r="M341" s="8"/>
      <c r="N341" s="8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</row>
    <row r="342" spans="1:39" s="10" customFormat="1" ht="39" customHeight="1" outlineLevel="1" x14ac:dyDescent="0.2">
      <c r="A342" s="149" t="s">
        <v>1118</v>
      </c>
      <c r="B342" s="195">
        <v>43343</v>
      </c>
      <c r="C342" s="107">
        <v>43465</v>
      </c>
      <c r="D342" s="188">
        <v>20</v>
      </c>
      <c r="E342" s="98">
        <v>13392.04</v>
      </c>
      <c r="F342" s="14"/>
      <c r="G342" s="14"/>
      <c r="H342" s="48">
        <f t="shared" si="22"/>
        <v>13392.04</v>
      </c>
      <c r="I342" s="102">
        <v>13392.04</v>
      </c>
      <c r="J342" s="163"/>
      <c r="K342" s="65"/>
      <c r="L342" s="8"/>
      <c r="M342" s="8"/>
      <c r="N342" s="8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</row>
    <row r="343" spans="1:39" s="10" customFormat="1" ht="48.75" customHeight="1" outlineLevel="1" x14ac:dyDescent="0.2">
      <c r="A343" s="134" t="s">
        <v>131</v>
      </c>
      <c r="B343" s="195">
        <v>42886</v>
      </c>
      <c r="C343" s="107">
        <v>43465</v>
      </c>
      <c r="D343" s="188">
        <v>20</v>
      </c>
      <c r="E343" s="14">
        <v>15000</v>
      </c>
      <c r="F343" s="14">
        <v>99000</v>
      </c>
      <c r="G343" s="14"/>
      <c r="H343" s="48">
        <f t="shared" si="22"/>
        <v>114000</v>
      </c>
      <c r="I343" s="102">
        <v>114000</v>
      </c>
      <c r="J343" s="163"/>
      <c r="K343" s="65"/>
      <c r="L343" s="8"/>
      <c r="M343" s="8"/>
      <c r="N343" s="8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</row>
    <row r="344" spans="1:39" s="26" customFormat="1" ht="39" customHeight="1" outlineLevel="1" x14ac:dyDescent="0.2">
      <c r="A344" s="134" t="s">
        <v>769</v>
      </c>
      <c r="B344" s="195">
        <v>43251</v>
      </c>
      <c r="C344" s="107">
        <v>43465</v>
      </c>
      <c r="D344" s="188">
        <v>40</v>
      </c>
      <c r="E344" s="14">
        <f>I344</f>
        <v>5811.62</v>
      </c>
      <c r="F344" s="14"/>
      <c r="G344" s="14"/>
      <c r="H344" s="48">
        <f t="shared" si="22"/>
        <v>5811.62</v>
      </c>
      <c r="I344" s="102">
        <v>5811.62</v>
      </c>
      <c r="J344" s="163"/>
      <c r="K344" s="65"/>
    </row>
    <row r="345" spans="1:39" s="10" customFormat="1" ht="39" customHeight="1" outlineLevel="1" x14ac:dyDescent="0.2">
      <c r="A345" s="149" t="s">
        <v>1119</v>
      </c>
      <c r="B345" s="195">
        <v>43371</v>
      </c>
      <c r="C345" s="107">
        <v>43465</v>
      </c>
      <c r="D345" s="188">
        <v>60</v>
      </c>
      <c r="E345" s="14">
        <v>9222.5400000000009</v>
      </c>
      <c r="F345" s="14"/>
      <c r="G345" s="14"/>
      <c r="H345" s="48">
        <f t="shared" si="22"/>
        <v>9222.5400000000009</v>
      </c>
      <c r="I345" s="102">
        <v>9222.5400000000009</v>
      </c>
      <c r="J345" s="163"/>
      <c r="K345" s="65"/>
      <c r="L345" s="8"/>
      <c r="M345" s="8"/>
      <c r="N345" s="8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</row>
    <row r="346" spans="1:39" s="10" customFormat="1" ht="39" customHeight="1" outlineLevel="1" x14ac:dyDescent="0.2">
      <c r="A346" s="149" t="s">
        <v>1120</v>
      </c>
      <c r="B346" s="195">
        <v>43343</v>
      </c>
      <c r="C346" s="107">
        <v>43465</v>
      </c>
      <c r="D346" s="188">
        <v>60</v>
      </c>
      <c r="E346" s="98">
        <v>16479.16</v>
      </c>
      <c r="F346" s="14"/>
      <c r="G346" s="14"/>
      <c r="H346" s="48">
        <f t="shared" si="22"/>
        <v>16479.16</v>
      </c>
      <c r="I346" s="102">
        <v>16479.16</v>
      </c>
      <c r="J346" s="163"/>
      <c r="K346" s="65"/>
      <c r="L346" s="8"/>
      <c r="M346" s="8"/>
      <c r="N346" s="8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</row>
    <row r="347" spans="1:39" s="10" customFormat="1" ht="39" customHeight="1" outlineLevel="1" x14ac:dyDescent="0.2">
      <c r="A347" s="149" t="s">
        <v>1121</v>
      </c>
      <c r="B347" s="195">
        <v>43312</v>
      </c>
      <c r="C347" s="107">
        <v>43465</v>
      </c>
      <c r="D347" s="188">
        <v>20</v>
      </c>
      <c r="E347" s="98">
        <v>4415.09</v>
      </c>
      <c r="F347" s="14"/>
      <c r="G347" s="14"/>
      <c r="H347" s="48">
        <f t="shared" si="22"/>
        <v>4415.09</v>
      </c>
      <c r="I347" s="102">
        <v>4415.09</v>
      </c>
      <c r="J347" s="163"/>
      <c r="K347" s="65"/>
      <c r="L347" s="8"/>
      <c r="M347" s="8"/>
      <c r="N347" s="8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</row>
    <row r="348" spans="1:39" s="4" customFormat="1" ht="39" customHeight="1" outlineLevel="1" x14ac:dyDescent="0.2">
      <c r="A348" s="149" t="s">
        <v>1122</v>
      </c>
      <c r="B348" s="195">
        <v>43312</v>
      </c>
      <c r="C348" s="107">
        <v>43465</v>
      </c>
      <c r="D348" s="188">
        <v>20</v>
      </c>
      <c r="E348" s="98">
        <v>6622.63</v>
      </c>
      <c r="F348" s="14"/>
      <c r="G348" s="14"/>
      <c r="H348" s="48">
        <f t="shared" si="22"/>
        <v>6622.63</v>
      </c>
      <c r="I348" s="102">
        <v>6622.63</v>
      </c>
      <c r="J348" s="163"/>
      <c r="K348" s="65"/>
    </row>
    <row r="349" spans="1:39" s="26" customFormat="1" ht="39" customHeight="1" outlineLevel="1" x14ac:dyDescent="0.2">
      <c r="A349" s="149" t="s">
        <v>1123</v>
      </c>
      <c r="B349" s="195">
        <v>43343</v>
      </c>
      <c r="C349" s="107">
        <v>43465</v>
      </c>
      <c r="D349" s="188">
        <v>20</v>
      </c>
      <c r="E349" s="98">
        <v>5093.41</v>
      </c>
      <c r="F349" s="14"/>
      <c r="G349" s="14"/>
      <c r="H349" s="48">
        <f t="shared" si="22"/>
        <v>5093.41</v>
      </c>
      <c r="I349" s="102">
        <v>5093.41</v>
      </c>
      <c r="J349" s="163"/>
      <c r="K349" s="65"/>
    </row>
    <row r="350" spans="1:39" s="26" customFormat="1" ht="39" customHeight="1" outlineLevel="1" x14ac:dyDescent="0.2">
      <c r="A350" s="134" t="s">
        <v>313</v>
      </c>
      <c r="B350" s="195">
        <v>43159</v>
      </c>
      <c r="C350" s="107">
        <v>43465</v>
      </c>
      <c r="D350" s="188">
        <v>30</v>
      </c>
      <c r="E350" s="14">
        <f t="shared" ref="E350:E359" si="23">I350</f>
        <v>51278.59</v>
      </c>
      <c r="F350" s="14"/>
      <c r="G350" s="14"/>
      <c r="H350" s="48">
        <f t="shared" si="22"/>
        <v>51278.59</v>
      </c>
      <c r="I350" s="102">
        <v>51278.59</v>
      </c>
      <c r="J350" s="163"/>
      <c r="K350" s="65"/>
    </row>
    <row r="351" spans="1:39" s="10" customFormat="1" ht="39" customHeight="1" outlineLevel="1" x14ac:dyDescent="0.2">
      <c r="A351" s="134" t="s">
        <v>314</v>
      </c>
      <c r="B351" s="195">
        <v>43131</v>
      </c>
      <c r="C351" s="107">
        <v>43465</v>
      </c>
      <c r="D351" s="188">
        <v>40</v>
      </c>
      <c r="E351" s="14">
        <f t="shared" si="23"/>
        <v>5572.87</v>
      </c>
      <c r="F351" s="14"/>
      <c r="G351" s="14"/>
      <c r="H351" s="48">
        <f t="shared" si="22"/>
        <v>5572.87</v>
      </c>
      <c r="I351" s="102">
        <v>5572.87</v>
      </c>
      <c r="J351" s="163"/>
      <c r="K351" s="65"/>
      <c r="L351" s="8"/>
      <c r="M351" s="8"/>
      <c r="N351" s="8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</row>
    <row r="352" spans="1:39" s="10" customFormat="1" ht="39" customHeight="1" outlineLevel="1" x14ac:dyDescent="0.2">
      <c r="A352" s="134" t="s">
        <v>770</v>
      </c>
      <c r="B352" s="195">
        <v>43218</v>
      </c>
      <c r="C352" s="107">
        <v>43465</v>
      </c>
      <c r="D352" s="188">
        <v>40</v>
      </c>
      <c r="E352" s="14">
        <f t="shared" si="23"/>
        <v>4368.1499999999996</v>
      </c>
      <c r="F352" s="14"/>
      <c r="G352" s="14"/>
      <c r="H352" s="48">
        <f t="shared" si="22"/>
        <v>4368.1499999999996</v>
      </c>
      <c r="I352" s="102">
        <v>4368.1499999999996</v>
      </c>
      <c r="J352" s="163"/>
      <c r="K352" s="65"/>
      <c r="L352" s="8"/>
      <c r="M352" s="8"/>
      <c r="N352" s="8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</row>
    <row r="353" spans="1:11" s="26" customFormat="1" ht="50.25" customHeight="1" outlineLevel="1" x14ac:dyDescent="0.2">
      <c r="A353" s="134" t="s">
        <v>771</v>
      </c>
      <c r="B353" s="195">
        <v>43251</v>
      </c>
      <c r="C353" s="107">
        <v>43465</v>
      </c>
      <c r="D353" s="188">
        <v>40</v>
      </c>
      <c r="E353" s="14">
        <f t="shared" si="23"/>
        <v>6226.02</v>
      </c>
      <c r="F353" s="14"/>
      <c r="G353" s="14"/>
      <c r="H353" s="48">
        <f t="shared" si="22"/>
        <v>6226.02</v>
      </c>
      <c r="I353" s="102">
        <v>6226.02</v>
      </c>
      <c r="J353" s="163"/>
      <c r="K353" s="65"/>
    </row>
    <row r="354" spans="1:11" s="26" customFormat="1" ht="39" customHeight="1" outlineLevel="1" x14ac:dyDescent="0.2">
      <c r="A354" s="134" t="s">
        <v>315</v>
      </c>
      <c r="B354" s="195">
        <v>43159</v>
      </c>
      <c r="C354" s="107">
        <v>43465</v>
      </c>
      <c r="D354" s="188">
        <v>40</v>
      </c>
      <c r="E354" s="14">
        <f t="shared" si="23"/>
        <v>10025.11</v>
      </c>
      <c r="F354" s="14"/>
      <c r="G354" s="14"/>
      <c r="H354" s="48">
        <f t="shared" si="22"/>
        <v>10025.11</v>
      </c>
      <c r="I354" s="102">
        <v>10025.11</v>
      </c>
      <c r="J354" s="163"/>
      <c r="K354" s="65"/>
    </row>
    <row r="355" spans="1:11" s="26" customFormat="1" ht="39" customHeight="1" outlineLevel="1" x14ac:dyDescent="0.2">
      <c r="A355" s="134" t="s">
        <v>772</v>
      </c>
      <c r="B355" s="195">
        <v>43251</v>
      </c>
      <c r="C355" s="107">
        <v>43465</v>
      </c>
      <c r="D355" s="188">
        <v>20</v>
      </c>
      <c r="E355" s="14">
        <f t="shared" si="23"/>
        <v>9646.08</v>
      </c>
      <c r="F355" s="14"/>
      <c r="G355" s="14"/>
      <c r="H355" s="48">
        <f t="shared" si="22"/>
        <v>9646.08</v>
      </c>
      <c r="I355" s="102">
        <v>9646.08</v>
      </c>
      <c r="J355" s="163"/>
      <c r="K355" s="65"/>
    </row>
    <row r="356" spans="1:11" s="26" customFormat="1" ht="52.5" customHeight="1" outlineLevel="1" x14ac:dyDescent="0.2">
      <c r="A356" s="134" t="s">
        <v>132</v>
      </c>
      <c r="B356" s="195">
        <v>42947</v>
      </c>
      <c r="C356" s="107">
        <v>43465</v>
      </c>
      <c r="D356" s="188">
        <v>40</v>
      </c>
      <c r="E356" s="14">
        <f t="shared" si="23"/>
        <v>23000</v>
      </c>
      <c r="F356" s="14"/>
      <c r="G356" s="14"/>
      <c r="H356" s="48">
        <f t="shared" si="22"/>
        <v>23000</v>
      </c>
      <c r="I356" s="102">
        <v>23000</v>
      </c>
      <c r="J356" s="163"/>
      <c r="K356" s="65"/>
    </row>
    <row r="357" spans="1:11" s="26" customFormat="1" ht="39" customHeight="1" outlineLevel="1" x14ac:dyDescent="0.2">
      <c r="A357" s="134" t="s">
        <v>316</v>
      </c>
      <c r="B357" s="195">
        <v>43131</v>
      </c>
      <c r="C357" s="107">
        <v>43465</v>
      </c>
      <c r="D357" s="188">
        <v>20</v>
      </c>
      <c r="E357" s="14">
        <f t="shared" si="23"/>
        <v>11613.28</v>
      </c>
      <c r="F357" s="14"/>
      <c r="G357" s="14"/>
      <c r="H357" s="48">
        <f t="shared" si="22"/>
        <v>11613.28</v>
      </c>
      <c r="I357" s="102">
        <v>11613.28</v>
      </c>
      <c r="J357" s="163"/>
      <c r="K357" s="65"/>
    </row>
    <row r="358" spans="1:11" s="26" customFormat="1" ht="39" customHeight="1" outlineLevel="1" x14ac:dyDescent="0.2">
      <c r="A358" s="134" t="s">
        <v>773</v>
      </c>
      <c r="B358" s="195">
        <v>43251</v>
      </c>
      <c r="C358" s="107">
        <v>43465</v>
      </c>
      <c r="D358" s="188">
        <v>40</v>
      </c>
      <c r="E358" s="14">
        <f t="shared" si="23"/>
        <v>5132.08</v>
      </c>
      <c r="F358" s="14"/>
      <c r="G358" s="14"/>
      <c r="H358" s="48">
        <f t="shared" si="22"/>
        <v>5132.08</v>
      </c>
      <c r="I358" s="102">
        <v>5132.08</v>
      </c>
      <c r="J358" s="163"/>
      <c r="K358" s="65"/>
    </row>
    <row r="359" spans="1:11" s="26" customFormat="1" ht="39" customHeight="1" outlineLevel="1" x14ac:dyDescent="0.2">
      <c r="A359" s="134" t="s">
        <v>133</v>
      </c>
      <c r="B359" s="195">
        <v>42727</v>
      </c>
      <c r="C359" s="107">
        <v>43465</v>
      </c>
      <c r="D359" s="188">
        <v>30</v>
      </c>
      <c r="E359" s="14">
        <f t="shared" si="23"/>
        <v>3380.75</v>
      </c>
      <c r="F359" s="14"/>
      <c r="G359" s="14"/>
      <c r="H359" s="48">
        <f t="shared" si="22"/>
        <v>3380.75</v>
      </c>
      <c r="I359" s="102">
        <v>3380.75</v>
      </c>
      <c r="J359" s="163"/>
      <c r="K359" s="65"/>
    </row>
    <row r="360" spans="1:11" s="26" customFormat="1" ht="51.75" customHeight="1" outlineLevel="1" x14ac:dyDescent="0.2">
      <c r="A360" s="149" t="s">
        <v>1124</v>
      </c>
      <c r="B360" s="195">
        <v>43371</v>
      </c>
      <c r="C360" s="107">
        <v>43465</v>
      </c>
      <c r="D360" s="188">
        <v>20</v>
      </c>
      <c r="E360" s="98">
        <v>4656.91</v>
      </c>
      <c r="F360" s="14"/>
      <c r="G360" s="14"/>
      <c r="H360" s="48">
        <f t="shared" si="22"/>
        <v>4656.91</v>
      </c>
      <c r="I360" s="102">
        <v>4656.91</v>
      </c>
      <c r="J360" s="163"/>
      <c r="K360" s="65"/>
    </row>
    <row r="361" spans="1:11" s="26" customFormat="1" ht="39" customHeight="1" outlineLevel="1" x14ac:dyDescent="0.2">
      <c r="A361" s="134" t="s">
        <v>317</v>
      </c>
      <c r="B361" s="195">
        <v>43039</v>
      </c>
      <c r="C361" s="107">
        <v>43404</v>
      </c>
      <c r="D361" s="188">
        <v>90</v>
      </c>
      <c r="E361" s="14">
        <f>I361</f>
        <v>5000</v>
      </c>
      <c r="F361" s="14"/>
      <c r="G361" s="14"/>
      <c r="H361" s="48">
        <f t="shared" si="22"/>
        <v>5000</v>
      </c>
      <c r="I361" s="102">
        <v>5000</v>
      </c>
      <c r="J361" s="163"/>
      <c r="K361" s="65"/>
    </row>
    <row r="362" spans="1:11" s="26" customFormat="1" ht="51.75" customHeight="1" outlineLevel="1" x14ac:dyDescent="0.2">
      <c r="A362" s="149" t="s">
        <v>1125</v>
      </c>
      <c r="B362" s="195">
        <v>43371</v>
      </c>
      <c r="C362" s="107">
        <v>43465</v>
      </c>
      <c r="D362" s="188">
        <v>20</v>
      </c>
      <c r="E362" s="98">
        <v>5239.0600000000004</v>
      </c>
      <c r="F362" s="14"/>
      <c r="G362" s="14"/>
      <c r="H362" s="48">
        <f t="shared" si="22"/>
        <v>5239.0600000000004</v>
      </c>
      <c r="I362" s="102">
        <v>5239.0600000000004</v>
      </c>
      <c r="J362" s="163"/>
      <c r="K362" s="65"/>
    </row>
    <row r="363" spans="1:11" s="26" customFormat="1" ht="39" customHeight="1" outlineLevel="1" x14ac:dyDescent="0.2">
      <c r="A363" s="149" t="s">
        <v>1126</v>
      </c>
      <c r="B363" s="195">
        <v>43371</v>
      </c>
      <c r="C363" s="107">
        <v>43465</v>
      </c>
      <c r="D363" s="188">
        <v>20</v>
      </c>
      <c r="E363" s="98">
        <v>4705.47</v>
      </c>
      <c r="F363" s="14"/>
      <c r="G363" s="14"/>
      <c r="H363" s="48">
        <f t="shared" si="22"/>
        <v>4705.47</v>
      </c>
      <c r="I363" s="102">
        <v>4705.47</v>
      </c>
      <c r="J363" s="163"/>
      <c r="K363" s="65"/>
    </row>
    <row r="364" spans="1:11" s="26" customFormat="1" ht="55.5" customHeight="1" outlineLevel="1" x14ac:dyDescent="0.2">
      <c r="A364" s="134" t="s">
        <v>40</v>
      </c>
      <c r="B364" s="195"/>
      <c r="C364" s="107">
        <v>43465</v>
      </c>
      <c r="D364" s="188">
        <v>20</v>
      </c>
      <c r="E364" s="14">
        <f>I364</f>
        <v>13943.55</v>
      </c>
      <c r="F364" s="14"/>
      <c r="G364" s="14"/>
      <c r="H364" s="48">
        <f t="shared" si="22"/>
        <v>13943.55</v>
      </c>
      <c r="I364" s="102">
        <v>13943.55</v>
      </c>
      <c r="J364" s="163"/>
      <c r="K364" s="65"/>
    </row>
    <row r="365" spans="1:11" s="26" customFormat="1" ht="72" customHeight="1" outlineLevel="1" x14ac:dyDescent="0.2">
      <c r="A365" s="149" t="s">
        <v>1127</v>
      </c>
      <c r="B365" s="195">
        <v>43371</v>
      </c>
      <c r="C365" s="107">
        <v>43465</v>
      </c>
      <c r="D365" s="188">
        <v>20</v>
      </c>
      <c r="E365" s="98">
        <v>5890.8</v>
      </c>
      <c r="F365" s="14"/>
      <c r="G365" s="14"/>
      <c r="H365" s="48">
        <f t="shared" si="22"/>
        <v>5890.8</v>
      </c>
      <c r="I365" s="102">
        <v>5890.8</v>
      </c>
      <c r="J365" s="163"/>
      <c r="K365" s="65"/>
    </row>
    <row r="366" spans="1:11" s="26" customFormat="1" ht="44.25" customHeight="1" outlineLevel="1" x14ac:dyDescent="0.2">
      <c r="A366" s="149" t="s">
        <v>1128</v>
      </c>
      <c r="B366" s="195">
        <v>43343</v>
      </c>
      <c r="C366" s="107">
        <v>43465</v>
      </c>
      <c r="D366" s="188">
        <v>20</v>
      </c>
      <c r="E366" s="98">
        <v>9029.23</v>
      </c>
      <c r="F366" s="14"/>
      <c r="G366" s="14"/>
      <c r="H366" s="48">
        <f t="shared" si="22"/>
        <v>9029.23</v>
      </c>
      <c r="I366" s="102">
        <v>9029.23</v>
      </c>
      <c r="J366" s="163"/>
      <c r="K366" s="65"/>
    </row>
    <row r="367" spans="1:11" s="26" customFormat="1" ht="39" customHeight="1" outlineLevel="1" x14ac:dyDescent="0.2">
      <c r="A367" s="149" t="s">
        <v>1129</v>
      </c>
      <c r="B367" s="195">
        <v>43312</v>
      </c>
      <c r="C367" s="107">
        <v>43465</v>
      </c>
      <c r="D367" s="188">
        <v>60</v>
      </c>
      <c r="E367" s="98">
        <v>7046.1</v>
      </c>
      <c r="F367" s="14"/>
      <c r="G367" s="14"/>
      <c r="H367" s="48">
        <f t="shared" ref="H367:H387" si="24">F367+E367+G367</f>
        <v>7046.1</v>
      </c>
      <c r="I367" s="102">
        <v>7046.1</v>
      </c>
      <c r="J367" s="163"/>
      <c r="K367" s="65"/>
    </row>
    <row r="368" spans="1:11" s="26" customFormat="1" ht="39" customHeight="1" outlineLevel="1" x14ac:dyDescent="0.2">
      <c r="A368" s="134" t="s">
        <v>211</v>
      </c>
      <c r="B368" s="195">
        <v>43069</v>
      </c>
      <c r="C368" s="107">
        <v>43465</v>
      </c>
      <c r="D368" s="188">
        <v>20</v>
      </c>
      <c r="E368" s="14">
        <f>I368</f>
        <v>15000</v>
      </c>
      <c r="F368" s="14"/>
      <c r="G368" s="14"/>
      <c r="H368" s="48">
        <f t="shared" si="24"/>
        <v>15000</v>
      </c>
      <c r="I368" s="102">
        <v>15000</v>
      </c>
      <c r="J368" s="163"/>
      <c r="K368" s="110"/>
    </row>
    <row r="369" spans="1:11" s="26" customFormat="1" ht="39" customHeight="1" outlineLevel="1" x14ac:dyDescent="0.2">
      <c r="A369" s="134" t="s">
        <v>212</v>
      </c>
      <c r="B369" s="195">
        <v>43069</v>
      </c>
      <c r="C369" s="107">
        <v>43465</v>
      </c>
      <c r="D369" s="188">
        <v>20</v>
      </c>
      <c r="E369" s="14">
        <f>I369</f>
        <v>15000</v>
      </c>
      <c r="F369" s="14"/>
      <c r="G369" s="14"/>
      <c r="H369" s="48">
        <f t="shared" si="24"/>
        <v>15000</v>
      </c>
      <c r="I369" s="102">
        <v>15000</v>
      </c>
      <c r="J369" s="163"/>
      <c r="K369" s="110"/>
    </row>
    <row r="370" spans="1:11" s="26" customFormat="1" ht="68.25" customHeight="1" outlineLevel="1" x14ac:dyDescent="0.2">
      <c r="A370" s="134" t="s">
        <v>44</v>
      </c>
      <c r="B370" s="195">
        <v>43218</v>
      </c>
      <c r="C370" s="107">
        <v>43465</v>
      </c>
      <c r="D370" s="188">
        <v>30</v>
      </c>
      <c r="E370" s="14">
        <v>19502.580000000002</v>
      </c>
      <c r="F370" s="14">
        <v>42000</v>
      </c>
      <c r="G370" s="14"/>
      <c r="H370" s="48">
        <f t="shared" si="24"/>
        <v>61502.58</v>
      </c>
      <c r="I370" s="102">
        <v>61502.58</v>
      </c>
      <c r="J370" s="163"/>
      <c r="K370" s="110"/>
    </row>
    <row r="371" spans="1:11" s="4" customFormat="1" ht="39.75" customHeight="1" outlineLevel="1" x14ac:dyDescent="0.2">
      <c r="A371" s="134" t="s">
        <v>774</v>
      </c>
      <c r="B371" s="195">
        <v>43218</v>
      </c>
      <c r="C371" s="107">
        <v>43465</v>
      </c>
      <c r="D371" s="188">
        <v>60</v>
      </c>
      <c r="E371" s="14">
        <f>I371</f>
        <v>5572.87</v>
      </c>
      <c r="F371" s="14"/>
      <c r="G371" s="14"/>
      <c r="H371" s="48">
        <f t="shared" si="24"/>
        <v>5572.87</v>
      </c>
      <c r="I371" s="102">
        <v>5572.87</v>
      </c>
      <c r="J371" s="163"/>
      <c r="K371" s="110"/>
    </row>
    <row r="372" spans="1:11" s="11" customFormat="1" ht="39" customHeight="1" outlineLevel="1" x14ac:dyDescent="0.2">
      <c r="A372" s="134" t="s">
        <v>775</v>
      </c>
      <c r="B372" s="195">
        <v>43251</v>
      </c>
      <c r="C372" s="107">
        <v>43465</v>
      </c>
      <c r="D372" s="188">
        <v>20</v>
      </c>
      <c r="E372" s="14">
        <f>I372</f>
        <v>9000.1</v>
      </c>
      <c r="F372" s="14"/>
      <c r="G372" s="14"/>
      <c r="H372" s="48">
        <f t="shared" si="24"/>
        <v>9000.1</v>
      </c>
      <c r="I372" s="102">
        <v>9000.1</v>
      </c>
      <c r="J372" s="163"/>
      <c r="K372" s="110"/>
    </row>
    <row r="373" spans="1:11" s="26" customFormat="1" ht="39" customHeight="1" outlineLevel="1" x14ac:dyDescent="0.2">
      <c r="A373" s="149" t="s">
        <v>1130</v>
      </c>
      <c r="B373" s="195">
        <v>43371</v>
      </c>
      <c r="C373" s="107">
        <v>43465</v>
      </c>
      <c r="D373" s="188">
        <v>40</v>
      </c>
      <c r="E373" s="98">
        <v>4882.71</v>
      </c>
      <c r="F373" s="14"/>
      <c r="G373" s="14"/>
      <c r="H373" s="48">
        <f t="shared" si="24"/>
        <v>4882.71</v>
      </c>
      <c r="I373" s="102">
        <v>4882.71</v>
      </c>
      <c r="J373" s="79"/>
      <c r="K373" s="79"/>
    </row>
    <row r="374" spans="1:11" s="26" customFormat="1" ht="39" customHeight="1" outlineLevel="1" x14ac:dyDescent="0.2">
      <c r="A374" s="149" t="s">
        <v>1131</v>
      </c>
      <c r="B374" s="195">
        <v>43343</v>
      </c>
      <c r="C374" s="107">
        <v>43465</v>
      </c>
      <c r="D374" s="188">
        <v>60</v>
      </c>
      <c r="E374" s="98">
        <v>5493.04</v>
      </c>
      <c r="F374" s="14"/>
      <c r="G374" s="14"/>
      <c r="H374" s="48">
        <f t="shared" si="24"/>
        <v>5493.04</v>
      </c>
      <c r="I374" s="102">
        <v>5493.04</v>
      </c>
      <c r="J374" s="79"/>
      <c r="K374" s="79"/>
    </row>
    <row r="375" spans="1:11" s="26" customFormat="1" ht="39" customHeight="1" outlineLevel="1" x14ac:dyDescent="0.2">
      <c r="A375" s="134" t="s">
        <v>776</v>
      </c>
      <c r="B375" s="195">
        <v>43251</v>
      </c>
      <c r="C375" s="107">
        <v>43434</v>
      </c>
      <c r="D375" s="188">
        <v>60</v>
      </c>
      <c r="E375" s="14">
        <f>I375</f>
        <v>4503.38</v>
      </c>
      <c r="F375" s="14"/>
      <c r="G375" s="14"/>
      <c r="H375" s="48">
        <f t="shared" si="24"/>
        <v>4503.38</v>
      </c>
      <c r="I375" s="102">
        <v>4503.38</v>
      </c>
      <c r="J375" s="79"/>
      <c r="K375" s="79"/>
    </row>
    <row r="376" spans="1:11" s="26" customFormat="1" ht="39" customHeight="1" outlineLevel="1" x14ac:dyDescent="0.2">
      <c r="A376" s="134" t="s">
        <v>777</v>
      </c>
      <c r="B376" s="195">
        <v>43251</v>
      </c>
      <c r="C376" s="107">
        <v>43465</v>
      </c>
      <c r="D376" s="188">
        <v>40</v>
      </c>
      <c r="E376" s="14">
        <f>I376</f>
        <v>6183.68</v>
      </c>
      <c r="F376" s="14"/>
      <c r="G376" s="14"/>
      <c r="H376" s="48">
        <f t="shared" si="24"/>
        <v>6183.68</v>
      </c>
      <c r="I376" s="102">
        <v>6183.68</v>
      </c>
      <c r="J376" s="79"/>
      <c r="K376" s="79"/>
    </row>
    <row r="377" spans="1:11" s="26" customFormat="1" ht="39" customHeight="1" outlineLevel="1" x14ac:dyDescent="0.2">
      <c r="A377" s="134" t="s">
        <v>778</v>
      </c>
      <c r="B377" s="195">
        <v>43218</v>
      </c>
      <c r="C377" s="107">
        <v>43465</v>
      </c>
      <c r="D377" s="188">
        <v>20</v>
      </c>
      <c r="E377" s="14">
        <f>I377</f>
        <v>9541.26</v>
      </c>
      <c r="F377" s="14"/>
      <c r="G377" s="14"/>
      <c r="H377" s="48">
        <f t="shared" si="24"/>
        <v>9541.26</v>
      </c>
      <c r="I377" s="102">
        <v>9541.26</v>
      </c>
      <c r="J377" s="79"/>
      <c r="K377" s="79"/>
    </row>
    <row r="378" spans="1:11" s="26" customFormat="1" ht="49.5" customHeight="1" outlineLevel="1" x14ac:dyDescent="0.2">
      <c r="A378" s="134" t="s">
        <v>134</v>
      </c>
      <c r="B378" s="195">
        <v>42704</v>
      </c>
      <c r="C378" s="107">
        <v>43465</v>
      </c>
      <c r="D378" s="188">
        <v>70</v>
      </c>
      <c r="E378" s="14"/>
      <c r="F378" s="98">
        <v>34697.89</v>
      </c>
      <c r="G378" s="14"/>
      <c r="H378" s="48">
        <f t="shared" si="24"/>
        <v>34697.89</v>
      </c>
      <c r="I378" s="102">
        <v>34697.89</v>
      </c>
      <c r="J378" s="79"/>
      <c r="K378" s="79"/>
    </row>
    <row r="379" spans="1:11" s="26" customFormat="1" ht="46.5" customHeight="1" outlineLevel="1" x14ac:dyDescent="0.2">
      <c r="A379" s="134" t="s">
        <v>780</v>
      </c>
      <c r="B379" s="195">
        <v>43131</v>
      </c>
      <c r="C379" s="107">
        <v>43465</v>
      </c>
      <c r="D379" s="188">
        <v>40</v>
      </c>
      <c r="E379" s="14">
        <f>I379</f>
        <v>5604.42</v>
      </c>
      <c r="F379" s="14"/>
      <c r="G379" s="14"/>
      <c r="H379" s="48">
        <f t="shared" si="24"/>
        <v>5604.42</v>
      </c>
      <c r="I379" s="102">
        <v>5604.42</v>
      </c>
      <c r="J379" s="79"/>
      <c r="K379" s="79"/>
    </row>
    <row r="380" spans="1:11" s="26" customFormat="1" ht="56.25" customHeight="1" outlineLevel="1" x14ac:dyDescent="0.2">
      <c r="A380" s="134" t="s">
        <v>135</v>
      </c>
      <c r="B380" s="195">
        <v>42655</v>
      </c>
      <c r="C380" s="107">
        <v>43465</v>
      </c>
      <c r="D380" s="188">
        <v>60</v>
      </c>
      <c r="E380" s="14">
        <f>I380</f>
        <v>8817.58</v>
      </c>
      <c r="F380" s="14"/>
      <c r="G380" s="14"/>
      <c r="H380" s="48">
        <f t="shared" si="24"/>
        <v>8817.58</v>
      </c>
      <c r="I380" s="102">
        <v>8817.58</v>
      </c>
      <c r="J380" s="79"/>
      <c r="K380" s="79"/>
    </row>
    <row r="381" spans="1:11" s="26" customFormat="1" ht="67.5" customHeight="1" outlineLevel="1" x14ac:dyDescent="0.2">
      <c r="A381" s="134" t="s">
        <v>318</v>
      </c>
      <c r="B381" s="195">
        <v>42478</v>
      </c>
      <c r="C381" s="107">
        <v>43465</v>
      </c>
      <c r="D381" s="188">
        <v>20</v>
      </c>
      <c r="E381" s="14">
        <f>I381</f>
        <v>35119.919999999998</v>
      </c>
      <c r="F381" s="14"/>
      <c r="G381" s="14"/>
      <c r="H381" s="48">
        <f t="shared" si="24"/>
        <v>35119.919999999998</v>
      </c>
      <c r="I381" s="102">
        <v>35119.919999999998</v>
      </c>
      <c r="J381" s="79"/>
      <c r="K381" s="79"/>
    </row>
    <row r="382" spans="1:11" s="26" customFormat="1" ht="56.25" customHeight="1" outlineLevel="1" x14ac:dyDescent="0.2">
      <c r="A382" s="149" t="s">
        <v>1132</v>
      </c>
      <c r="B382" s="195">
        <v>43312</v>
      </c>
      <c r="C382" s="107">
        <v>43465</v>
      </c>
      <c r="D382" s="188">
        <v>20</v>
      </c>
      <c r="E382" s="98">
        <v>4668.9799999999996</v>
      </c>
      <c r="F382" s="14"/>
      <c r="G382" s="14"/>
      <c r="H382" s="48">
        <f t="shared" si="24"/>
        <v>4668.9799999999996</v>
      </c>
      <c r="I382" s="102">
        <v>4668.9799999999996</v>
      </c>
      <c r="J382" s="79"/>
      <c r="K382" s="79"/>
    </row>
    <row r="383" spans="1:11" s="26" customFormat="1" ht="39" customHeight="1" outlineLevel="1" x14ac:dyDescent="0.2">
      <c r="A383" s="134" t="s">
        <v>319</v>
      </c>
      <c r="B383" s="195">
        <v>43039</v>
      </c>
      <c r="C383" s="107">
        <v>43465</v>
      </c>
      <c r="D383" s="188">
        <v>20</v>
      </c>
      <c r="E383" s="14">
        <f>I383</f>
        <v>121095.94</v>
      </c>
      <c r="F383" s="14"/>
      <c r="G383" s="14"/>
      <c r="H383" s="48">
        <f t="shared" si="24"/>
        <v>121095.94</v>
      </c>
      <c r="I383" s="102">
        <v>121095.94</v>
      </c>
      <c r="J383" s="79"/>
      <c r="K383" s="79"/>
    </row>
    <row r="384" spans="1:11" s="26" customFormat="1" ht="39" customHeight="1" outlineLevel="1" x14ac:dyDescent="0.2">
      <c r="A384" s="134" t="s">
        <v>136</v>
      </c>
      <c r="B384" s="195">
        <v>42885</v>
      </c>
      <c r="C384" s="107">
        <v>43465</v>
      </c>
      <c r="D384" s="188">
        <v>20</v>
      </c>
      <c r="E384" s="14">
        <f>I384</f>
        <v>23000</v>
      </c>
      <c r="F384" s="14"/>
      <c r="G384" s="14"/>
      <c r="H384" s="48">
        <f t="shared" si="24"/>
        <v>23000</v>
      </c>
      <c r="I384" s="102">
        <v>23000</v>
      </c>
      <c r="J384" s="79"/>
      <c r="K384" s="79"/>
    </row>
    <row r="385" spans="1:11" s="26" customFormat="1" ht="39" customHeight="1" outlineLevel="1" x14ac:dyDescent="0.2">
      <c r="A385" s="134" t="s">
        <v>137</v>
      </c>
      <c r="B385" s="195">
        <v>43343</v>
      </c>
      <c r="C385" s="107">
        <v>43465</v>
      </c>
      <c r="D385" s="188">
        <v>50</v>
      </c>
      <c r="E385" s="14">
        <v>6404.4</v>
      </c>
      <c r="F385" s="14"/>
      <c r="G385" s="14"/>
      <c r="H385" s="48">
        <f t="shared" si="24"/>
        <v>6404.4</v>
      </c>
      <c r="I385" s="102">
        <v>6404.4</v>
      </c>
      <c r="J385" s="79"/>
      <c r="K385" s="79"/>
    </row>
    <row r="386" spans="1:11" s="26" customFormat="1" ht="39" customHeight="1" outlineLevel="1" x14ac:dyDescent="0.2">
      <c r="A386" s="134" t="s">
        <v>1133</v>
      </c>
      <c r="B386" s="97">
        <v>42613</v>
      </c>
      <c r="C386" s="107">
        <v>43404</v>
      </c>
      <c r="D386" s="188">
        <v>90</v>
      </c>
      <c r="E386" s="14">
        <v>2203.64</v>
      </c>
      <c r="F386" s="14"/>
      <c r="G386" s="14"/>
      <c r="H386" s="48">
        <f t="shared" si="24"/>
        <v>2203.64</v>
      </c>
      <c r="I386" s="102">
        <v>2203.64</v>
      </c>
      <c r="J386" s="79"/>
      <c r="K386" s="79"/>
    </row>
    <row r="387" spans="1:11" s="26" customFormat="1" ht="39" customHeight="1" outlineLevel="1" x14ac:dyDescent="0.2">
      <c r="A387" s="134" t="s">
        <v>138</v>
      </c>
      <c r="B387" s="195">
        <v>42886</v>
      </c>
      <c r="C387" s="107">
        <v>43465</v>
      </c>
      <c r="D387" s="188">
        <v>20</v>
      </c>
      <c r="E387" s="98">
        <v>61917.85</v>
      </c>
      <c r="F387" s="14"/>
      <c r="G387" s="14"/>
      <c r="H387" s="48">
        <f t="shared" si="24"/>
        <v>61917.85</v>
      </c>
      <c r="I387" s="102">
        <v>61917.85</v>
      </c>
      <c r="J387" s="79"/>
      <c r="K387" s="79"/>
    </row>
    <row r="388" spans="1:11" s="26" customFormat="1" x14ac:dyDescent="0.2">
      <c r="A388" s="50"/>
      <c r="B388" s="89"/>
      <c r="C388" s="89"/>
      <c r="D388" s="130"/>
      <c r="E388" s="58">
        <f>SUM(E271:E387)</f>
        <v>1538097.7000000002</v>
      </c>
      <c r="F388" s="58">
        <f t="shared" ref="F388:I388" si="25">SUM(F271:F387)</f>
        <v>220697.89</v>
      </c>
      <c r="G388" s="58">
        <f t="shared" si="25"/>
        <v>0</v>
      </c>
      <c r="H388" s="58">
        <f t="shared" si="25"/>
        <v>1758795.5899999999</v>
      </c>
      <c r="I388" s="58">
        <f t="shared" si="25"/>
        <v>1758795.5899999999</v>
      </c>
      <c r="J388" s="79"/>
      <c r="K388" s="79"/>
    </row>
    <row r="389" spans="1:11" s="26" customFormat="1" x14ac:dyDescent="0.2">
      <c r="A389" s="50"/>
      <c r="B389" s="89"/>
      <c r="C389" s="89"/>
      <c r="D389" s="130"/>
      <c r="E389" s="58"/>
      <c r="F389" s="58"/>
      <c r="G389" s="58"/>
      <c r="H389" s="48"/>
      <c r="I389" s="48"/>
      <c r="J389" s="79"/>
      <c r="K389" s="79"/>
    </row>
    <row r="390" spans="1:11" s="26" customFormat="1" ht="24" x14ac:dyDescent="0.2">
      <c r="A390" s="23" t="s">
        <v>320</v>
      </c>
      <c r="B390" s="90"/>
      <c r="C390" s="89"/>
      <c r="D390" s="130"/>
      <c r="E390" s="14"/>
      <c r="F390" s="14"/>
      <c r="G390" s="14"/>
      <c r="H390" s="48"/>
      <c r="I390" s="43"/>
      <c r="J390" s="75"/>
      <c r="K390" s="29"/>
    </row>
    <row r="391" spans="1:11" s="26" customFormat="1" ht="24" outlineLevel="1" x14ac:dyDescent="0.2">
      <c r="A391" s="150" t="s">
        <v>148</v>
      </c>
      <c r="B391" s="108">
        <v>42767</v>
      </c>
      <c r="C391" s="107">
        <v>43497</v>
      </c>
      <c r="D391" s="188">
        <v>45</v>
      </c>
      <c r="E391" s="155">
        <v>29400</v>
      </c>
      <c r="F391" s="155">
        <v>265411.32</v>
      </c>
      <c r="G391" s="123"/>
      <c r="H391" s="156">
        <f t="shared" ref="H391:H422" si="26">F391+E391</f>
        <v>294811.32</v>
      </c>
      <c r="I391" s="177">
        <v>294811.32</v>
      </c>
      <c r="J391" s="165">
        <f t="shared" ref="J391:J454" si="27">H391-I391</f>
        <v>0</v>
      </c>
      <c r="K391" s="165">
        <f t="shared" ref="K391:K454" si="28">H391-I391</f>
        <v>0</v>
      </c>
    </row>
    <row r="392" spans="1:11" s="26" customFormat="1" ht="12.75" outlineLevel="1" x14ac:dyDescent="0.2">
      <c r="A392" s="150" t="s">
        <v>1134</v>
      </c>
      <c r="B392" s="108">
        <v>43344</v>
      </c>
      <c r="C392" s="107">
        <v>43617</v>
      </c>
      <c r="D392" s="188">
        <v>45</v>
      </c>
      <c r="E392" s="155"/>
      <c r="F392" s="155">
        <v>191767.06</v>
      </c>
      <c r="G392" s="123"/>
      <c r="H392" s="156">
        <f t="shared" si="26"/>
        <v>191767.06</v>
      </c>
      <c r="I392" s="177">
        <v>191767.06</v>
      </c>
      <c r="J392" s="165">
        <f t="shared" si="27"/>
        <v>0</v>
      </c>
      <c r="K392" s="165">
        <f t="shared" si="28"/>
        <v>0</v>
      </c>
    </row>
    <row r="393" spans="1:11" s="26" customFormat="1" ht="12.75" outlineLevel="1" x14ac:dyDescent="0.2">
      <c r="A393" s="150" t="s">
        <v>1135</v>
      </c>
      <c r="B393" s="108">
        <v>43313</v>
      </c>
      <c r="C393" s="107">
        <v>43586</v>
      </c>
      <c r="D393" s="188">
        <v>45</v>
      </c>
      <c r="E393" s="155">
        <v>18000</v>
      </c>
      <c r="F393" s="155">
        <v>119858.45</v>
      </c>
      <c r="G393" s="123"/>
      <c r="H393" s="156">
        <f t="shared" si="26"/>
        <v>137858.45000000001</v>
      </c>
      <c r="I393" s="177">
        <v>137858.45000000001</v>
      </c>
      <c r="J393" s="165">
        <f t="shared" si="27"/>
        <v>0</v>
      </c>
      <c r="K393" s="165">
        <f t="shared" si="28"/>
        <v>0</v>
      </c>
    </row>
    <row r="394" spans="1:11" s="26" customFormat="1" ht="24" outlineLevel="1" x14ac:dyDescent="0.2">
      <c r="A394" s="150" t="s">
        <v>820</v>
      </c>
      <c r="B394" s="108">
        <v>42767</v>
      </c>
      <c r="C394" s="107">
        <v>43497</v>
      </c>
      <c r="D394" s="188">
        <v>45</v>
      </c>
      <c r="E394" s="155">
        <v>8500</v>
      </c>
      <c r="F394" s="155">
        <v>102517.4</v>
      </c>
      <c r="G394" s="123"/>
      <c r="H394" s="156">
        <f t="shared" si="26"/>
        <v>111017.4</v>
      </c>
      <c r="I394" s="177">
        <v>111017.4</v>
      </c>
      <c r="J394" s="165">
        <f t="shared" si="27"/>
        <v>0</v>
      </c>
      <c r="K394" s="165">
        <f t="shared" si="28"/>
        <v>0</v>
      </c>
    </row>
    <row r="395" spans="1:11" s="26" customFormat="1" ht="12.75" outlineLevel="1" x14ac:dyDescent="0.2">
      <c r="A395" s="150" t="s">
        <v>153</v>
      </c>
      <c r="B395" s="108">
        <v>43221</v>
      </c>
      <c r="C395" s="107">
        <v>43497</v>
      </c>
      <c r="D395" s="188">
        <v>45</v>
      </c>
      <c r="E395" s="155">
        <v>20000</v>
      </c>
      <c r="F395" s="155">
        <v>57972.1</v>
      </c>
      <c r="G395" s="123"/>
      <c r="H395" s="156">
        <f t="shared" si="26"/>
        <v>77972.100000000006</v>
      </c>
      <c r="I395" s="177">
        <v>77972.100000000006</v>
      </c>
      <c r="J395" s="165">
        <f t="shared" si="27"/>
        <v>0</v>
      </c>
      <c r="K395" s="165">
        <f t="shared" si="28"/>
        <v>0</v>
      </c>
    </row>
    <row r="396" spans="1:11" s="26" customFormat="1" ht="12.75" outlineLevel="1" x14ac:dyDescent="0.2">
      <c r="A396" s="150" t="s">
        <v>1136</v>
      </c>
      <c r="B396" s="108">
        <v>43344</v>
      </c>
      <c r="C396" s="107">
        <v>43617</v>
      </c>
      <c r="D396" s="188">
        <v>45</v>
      </c>
      <c r="E396" s="155"/>
      <c r="F396" s="155">
        <v>68875.5</v>
      </c>
      <c r="G396" s="123"/>
      <c r="H396" s="156">
        <f t="shared" si="26"/>
        <v>68875.5</v>
      </c>
      <c r="I396" s="177">
        <v>68875.5</v>
      </c>
      <c r="J396" s="165">
        <f t="shared" si="27"/>
        <v>0</v>
      </c>
      <c r="K396" s="165">
        <f t="shared" si="28"/>
        <v>0</v>
      </c>
    </row>
    <row r="397" spans="1:11" s="26" customFormat="1" ht="24" outlineLevel="1" x14ac:dyDescent="0.2">
      <c r="A397" s="150" t="s">
        <v>141</v>
      </c>
      <c r="B397" s="108">
        <v>43070</v>
      </c>
      <c r="C397" s="107">
        <v>43435</v>
      </c>
      <c r="D397" s="188">
        <v>45</v>
      </c>
      <c r="E397" s="155">
        <v>10500</v>
      </c>
      <c r="F397" s="155">
        <v>52064.08</v>
      </c>
      <c r="G397" s="123"/>
      <c r="H397" s="156">
        <f t="shared" si="26"/>
        <v>62564.08</v>
      </c>
      <c r="I397" s="177">
        <v>62564.08</v>
      </c>
      <c r="J397" s="165">
        <f t="shared" si="27"/>
        <v>0</v>
      </c>
      <c r="K397" s="165">
        <f t="shared" si="28"/>
        <v>0</v>
      </c>
    </row>
    <row r="398" spans="1:11" s="26" customFormat="1" ht="24" outlineLevel="1" x14ac:dyDescent="0.2">
      <c r="A398" s="150" t="s">
        <v>142</v>
      </c>
      <c r="B398" s="108">
        <v>43009</v>
      </c>
      <c r="C398" s="107">
        <v>43466</v>
      </c>
      <c r="D398" s="188">
        <v>45</v>
      </c>
      <c r="E398" s="155"/>
      <c r="F398" s="155">
        <v>60761.19</v>
      </c>
      <c r="G398" s="123"/>
      <c r="H398" s="156">
        <f t="shared" si="26"/>
        <v>60761.19</v>
      </c>
      <c r="I398" s="177">
        <v>60761.19</v>
      </c>
      <c r="J398" s="165">
        <f t="shared" si="27"/>
        <v>0</v>
      </c>
      <c r="K398" s="165">
        <f t="shared" si="28"/>
        <v>0</v>
      </c>
    </row>
    <row r="399" spans="1:11" s="26" customFormat="1" ht="24" outlineLevel="1" x14ac:dyDescent="0.2">
      <c r="A399" s="150" t="s">
        <v>337</v>
      </c>
      <c r="B399" s="108">
        <v>43191</v>
      </c>
      <c r="C399" s="107">
        <v>43466</v>
      </c>
      <c r="D399" s="188">
        <v>45</v>
      </c>
      <c r="E399" s="155">
        <v>35000</v>
      </c>
      <c r="F399" s="155">
        <v>25671.69</v>
      </c>
      <c r="G399" s="123"/>
      <c r="H399" s="156">
        <f t="shared" si="26"/>
        <v>60671.69</v>
      </c>
      <c r="I399" s="177">
        <v>60671.69</v>
      </c>
      <c r="J399" s="165">
        <f t="shared" si="27"/>
        <v>0</v>
      </c>
      <c r="K399" s="165">
        <f t="shared" si="28"/>
        <v>0</v>
      </c>
    </row>
    <row r="400" spans="1:11" s="26" customFormat="1" ht="24" outlineLevel="1" x14ac:dyDescent="0.2">
      <c r="A400" s="150" t="s">
        <v>143</v>
      </c>
      <c r="B400" s="108">
        <v>43009</v>
      </c>
      <c r="C400" s="107">
        <v>43525</v>
      </c>
      <c r="D400" s="188">
        <v>45</v>
      </c>
      <c r="E400" s="155"/>
      <c r="F400" s="155">
        <v>60248.6</v>
      </c>
      <c r="G400" s="123"/>
      <c r="H400" s="156">
        <f t="shared" si="26"/>
        <v>60248.6</v>
      </c>
      <c r="I400" s="177">
        <v>60248.6</v>
      </c>
      <c r="J400" s="165">
        <f t="shared" si="27"/>
        <v>0</v>
      </c>
      <c r="K400" s="165">
        <f t="shared" si="28"/>
        <v>0</v>
      </c>
    </row>
    <row r="401" spans="1:11" s="26" customFormat="1" ht="24" outlineLevel="1" x14ac:dyDescent="0.2">
      <c r="A401" s="150" t="s">
        <v>223</v>
      </c>
      <c r="B401" s="108">
        <v>43160</v>
      </c>
      <c r="C401" s="107" t="s">
        <v>1137</v>
      </c>
      <c r="D401" s="188">
        <v>10</v>
      </c>
      <c r="E401" s="155">
        <v>57300</v>
      </c>
      <c r="F401" s="155"/>
      <c r="G401" s="123"/>
      <c r="H401" s="156">
        <f t="shared" si="26"/>
        <v>57300</v>
      </c>
      <c r="I401" s="177">
        <v>57300</v>
      </c>
      <c r="J401" s="165">
        <f t="shared" si="27"/>
        <v>0</v>
      </c>
      <c r="K401" s="165">
        <f t="shared" si="28"/>
        <v>0</v>
      </c>
    </row>
    <row r="402" spans="1:11" s="26" customFormat="1" ht="12.75" outlineLevel="1" x14ac:dyDescent="0.2">
      <c r="A402" s="150" t="s">
        <v>806</v>
      </c>
      <c r="B402" s="108">
        <v>43344</v>
      </c>
      <c r="C402" s="107">
        <v>43617</v>
      </c>
      <c r="D402" s="188">
        <v>45</v>
      </c>
      <c r="E402" s="155">
        <v>8200</v>
      </c>
      <c r="F402" s="155">
        <v>47902.31</v>
      </c>
      <c r="G402" s="123"/>
      <c r="H402" s="156">
        <f t="shared" si="26"/>
        <v>56102.31</v>
      </c>
      <c r="I402" s="177">
        <v>56102.31</v>
      </c>
      <c r="J402" s="165">
        <f t="shared" si="27"/>
        <v>0</v>
      </c>
      <c r="K402" s="165">
        <f t="shared" si="28"/>
        <v>0</v>
      </c>
    </row>
    <row r="403" spans="1:11" s="26" customFormat="1" ht="24" outlineLevel="1" x14ac:dyDescent="0.2">
      <c r="A403" s="150" t="s">
        <v>791</v>
      </c>
      <c r="B403" s="108">
        <v>43344</v>
      </c>
      <c r="C403" s="107">
        <v>43617</v>
      </c>
      <c r="D403" s="188">
        <v>45</v>
      </c>
      <c r="E403" s="155">
        <v>3600</v>
      </c>
      <c r="F403" s="155">
        <v>51838.64</v>
      </c>
      <c r="G403" s="123"/>
      <c r="H403" s="156">
        <f t="shared" si="26"/>
        <v>55438.64</v>
      </c>
      <c r="I403" s="177">
        <v>55438.64</v>
      </c>
      <c r="J403" s="165">
        <f t="shared" si="27"/>
        <v>0</v>
      </c>
      <c r="K403" s="165">
        <f t="shared" si="28"/>
        <v>0</v>
      </c>
    </row>
    <row r="404" spans="1:11" s="26" customFormat="1" ht="24" outlineLevel="1" x14ac:dyDescent="0.2">
      <c r="A404" s="150" t="s">
        <v>228</v>
      </c>
      <c r="B404" s="108">
        <v>42826</v>
      </c>
      <c r="C404" s="107">
        <v>43556</v>
      </c>
      <c r="D404" s="188">
        <v>45</v>
      </c>
      <c r="E404" s="155">
        <v>8902.5300000000007</v>
      </c>
      <c r="F404" s="155">
        <v>60098.82</v>
      </c>
      <c r="G404" s="123"/>
      <c r="H404" s="156">
        <f t="shared" si="26"/>
        <v>69001.350000000006</v>
      </c>
      <c r="I404" s="102">
        <v>69001.350000000006</v>
      </c>
      <c r="J404" s="165">
        <f t="shared" si="27"/>
        <v>0</v>
      </c>
      <c r="K404" s="165">
        <f t="shared" si="28"/>
        <v>0</v>
      </c>
    </row>
    <row r="405" spans="1:11" s="26" customFormat="1" ht="24" outlineLevel="1" x14ac:dyDescent="0.2">
      <c r="A405" s="150" t="s">
        <v>152</v>
      </c>
      <c r="B405" s="108">
        <v>43101</v>
      </c>
      <c r="C405" s="107">
        <v>43466</v>
      </c>
      <c r="D405" s="188">
        <v>45</v>
      </c>
      <c r="E405" s="155">
        <v>28661.53</v>
      </c>
      <c r="F405" s="155">
        <v>24673.33</v>
      </c>
      <c r="G405" s="123"/>
      <c r="H405" s="156">
        <f t="shared" si="26"/>
        <v>53334.86</v>
      </c>
      <c r="I405" s="177">
        <v>53334.86</v>
      </c>
      <c r="J405" s="165">
        <f t="shared" si="27"/>
        <v>0</v>
      </c>
      <c r="K405" s="165">
        <f t="shared" si="28"/>
        <v>0</v>
      </c>
    </row>
    <row r="406" spans="1:11" s="26" customFormat="1" ht="24" outlineLevel="1" x14ac:dyDescent="0.2">
      <c r="A406" s="150" t="s">
        <v>155</v>
      </c>
      <c r="B406" s="108">
        <v>43191</v>
      </c>
      <c r="C406" s="107">
        <v>43466</v>
      </c>
      <c r="D406" s="188">
        <v>45</v>
      </c>
      <c r="E406" s="155">
        <v>6500</v>
      </c>
      <c r="F406" s="155">
        <v>46382.21</v>
      </c>
      <c r="G406" s="123"/>
      <c r="H406" s="156">
        <f t="shared" si="26"/>
        <v>52882.21</v>
      </c>
      <c r="I406" s="177">
        <v>52882.21</v>
      </c>
      <c r="J406" s="165">
        <f t="shared" si="27"/>
        <v>0</v>
      </c>
      <c r="K406" s="165">
        <f t="shared" si="28"/>
        <v>0</v>
      </c>
    </row>
    <row r="407" spans="1:11" s="26" customFormat="1" ht="12.75" outlineLevel="1" x14ac:dyDescent="0.2">
      <c r="A407" s="150" t="s">
        <v>1138</v>
      </c>
      <c r="B407" s="108">
        <v>43252</v>
      </c>
      <c r="C407" s="107">
        <v>43525</v>
      </c>
      <c r="D407" s="188">
        <v>10</v>
      </c>
      <c r="E407" s="155">
        <v>50000</v>
      </c>
      <c r="F407" s="155"/>
      <c r="G407" s="123"/>
      <c r="H407" s="156">
        <f t="shared" si="26"/>
        <v>50000</v>
      </c>
      <c r="I407" s="177">
        <v>50000</v>
      </c>
      <c r="J407" s="165">
        <f t="shared" si="27"/>
        <v>0</v>
      </c>
      <c r="K407" s="165">
        <f t="shared" si="28"/>
        <v>0</v>
      </c>
    </row>
    <row r="408" spans="1:11" s="26" customFormat="1" ht="12.75" outlineLevel="1" x14ac:dyDescent="0.2">
      <c r="A408" s="150" t="s">
        <v>1139</v>
      </c>
      <c r="B408" s="108">
        <v>43252</v>
      </c>
      <c r="C408" s="107">
        <v>43525</v>
      </c>
      <c r="D408" s="188">
        <v>45</v>
      </c>
      <c r="E408" s="155"/>
      <c r="F408" s="155">
        <v>46279.49</v>
      </c>
      <c r="G408" s="123"/>
      <c r="H408" s="156">
        <f t="shared" si="26"/>
        <v>46279.49</v>
      </c>
      <c r="I408" s="177">
        <v>46279.49</v>
      </c>
      <c r="J408" s="165">
        <f t="shared" si="27"/>
        <v>0</v>
      </c>
      <c r="K408" s="165">
        <f t="shared" si="28"/>
        <v>0</v>
      </c>
    </row>
    <row r="409" spans="1:11" s="26" customFormat="1" ht="24" outlineLevel="1" x14ac:dyDescent="0.2">
      <c r="A409" s="150" t="s">
        <v>224</v>
      </c>
      <c r="B409" s="108">
        <v>43313</v>
      </c>
      <c r="C409" s="107">
        <v>43586</v>
      </c>
      <c r="D409" s="188">
        <v>45</v>
      </c>
      <c r="E409" s="155">
        <v>41000</v>
      </c>
      <c r="F409" s="155">
        <v>4558.8900000000003</v>
      </c>
      <c r="G409" s="123"/>
      <c r="H409" s="156">
        <f t="shared" si="26"/>
        <v>45558.89</v>
      </c>
      <c r="I409" s="177">
        <v>45558.89</v>
      </c>
      <c r="J409" s="165">
        <f t="shared" si="27"/>
        <v>0</v>
      </c>
      <c r="K409" s="165">
        <f t="shared" si="28"/>
        <v>0</v>
      </c>
    </row>
    <row r="410" spans="1:11" s="26" customFormat="1" ht="24" outlineLevel="1" x14ac:dyDescent="0.2">
      <c r="A410" s="150" t="s">
        <v>819</v>
      </c>
      <c r="B410" s="108">
        <v>43252</v>
      </c>
      <c r="C410" s="107">
        <v>43525</v>
      </c>
      <c r="D410" s="188">
        <v>45</v>
      </c>
      <c r="E410" s="155"/>
      <c r="F410" s="155">
        <v>45359.06</v>
      </c>
      <c r="G410" s="123"/>
      <c r="H410" s="156">
        <f t="shared" si="26"/>
        <v>45359.06</v>
      </c>
      <c r="I410" s="177">
        <v>45359.06</v>
      </c>
      <c r="J410" s="165">
        <f t="shared" si="27"/>
        <v>0</v>
      </c>
      <c r="K410" s="165">
        <f t="shared" si="28"/>
        <v>0</v>
      </c>
    </row>
    <row r="411" spans="1:11" s="26" customFormat="1" ht="24" outlineLevel="1" x14ac:dyDescent="0.2">
      <c r="A411" s="150" t="s">
        <v>218</v>
      </c>
      <c r="B411" s="108">
        <v>43282</v>
      </c>
      <c r="C411" s="107">
        <v>43556</v>
      </c>
      <c r="D411" s="188">
        <v>45</v>
      </c>
      <c r="E411" s="155">
        <v>35000</v>
      </c>
      <c r="F411" s="155">
        <v>8833.2999999999993</v>
      </c>
      <c r="G411" s="123"/>
      <c r="H411" s="156">
        <f t="shared" si="26"/>
        <v>43833.3</v>
      </c>
      <c r="I411" s="177">
        <v>43833.3</v>
      </c>
      <c r="J411" s="165">
        <f t="shared" si="27"/>
        <v>0</v>
      </c>
      <c r="K411" s="165">
        <f t="shared" si="28"/>
        <v>0</v>
      </c>
    </row>
    <row r="412" spans="1:11" s="26" customFormat="1" ht="24" outlineLevel="1" x14ac:dyDescent="0.2">
      <c r="A412" s="150" t="s">
        <v>811</v>
      </c>
      <c r="B412" s="108">
        <v>43313</v>
      </c>
      <c r="C412" s="107">
        <v>43586</v>
      </c>
      <c r="D412" s="188">
        <v>10</v>
      </c>
      <c r="E412" s="155">
        <v>38700</v>
      </c>
      <c r="F412" s="155"/>
      <c r="G412" s="123"/>
      <c r="H412" s="156">
        <f t="shared" si="26"/>
        <v>38700</v>
      </c>
      <c r="I412" s="177">
        <v>38700</v>
      </c>
      <c r="J412" s="165">
        <f t="shared" si="27"/>
        <v>0</v>
      </c>
      <c r="K412" s="165">
        <f t="shared" si="28"/>
        <v>0</v>
      </c>
    </row>
    <row r="413" spans="1:11" s="26" customFormat="1" ht="12.75" outlineLevel="1" x14ac:dyDescent="0.2">
      <c r="A413" s="150" t="s">
        <v>1140</v>
      </c>
      <c r="B413" s="108">
        <v>43344</v>
      </c>
      <c r="C413" s="107">
        <v>43617</v>
      </c>
      <c r="D413" s="188">
        <v>70</v>
      </c>
      <c r="E413" s="155"/>
      <c r="F413" s="155">
        <v>37726.06</v>
      </c>
      <c r="G413" s="123"/>
      <c r="H413" s="156">
        <f t="shared" si="26"/>
        <v>37726.06</v>
      </c>
      <c r="I413" s="177">
        <v>37726.06</v>
      </c>
      <c r="J413" s="165">
        <f t="shared" si="27"/>
        <v>0</v>
      </c>
      <c r="K413" s="165">
        <f t="shared" si="28"/>
        <v>0</v>
      </c>
    </row>
    <row r="414" spans="1:11" s="26" customFormat="1" ht="24" outlineLevel="1" x14ac:dyDescent="0.2">
      <c r="A414" s="150" t="s">
        <v>147</v>
      </c>
      <c r="B414" s="108">
        <v>43344</v>
      </c>
      <c r="C414" s="107">
        <v>43617</v>
      </c>
      <c r="D414" s="188">
        <v>45</v>
      </c>
      <c r="E414" s="155"/>
      <c r="F414" s="155">
        <v>37720.29</v>
      </c>
      <c r="G414" s="123"/>
      <c r="H414" s="156">
        <f t="shared" si="26"/>
        <v>37720.29</v>
      </c>
      <c r="I414" s="177">
        <v>37720.29</v>
      </c>
      <c r="J414" s="165">
        <f t="shared" si="27"/>
        <v>0</v>
      </c>
      <c r="K414" s="165">
        <f t="shared" si="28"/>
        <v>0</v>
      </c>
    </row>
    <row r="415" spans="1:11" s="26" customFormat="1" ht="12.75" outlineLevel="1" x14ac:dyDescent="0.2">
      <c r="A415" s="150" t="s">
        <v>816</v>
      </c>
      <c r="B415" s="108">
        <v>43344</v>
      </c>
      <c r="C415" s="107">
        <v>43617</v>
      </c>
      <c r="D415" s="188">
        <v>45</v>
      </c>
      <c r="E415" s="155">
        <v>6300</v>
      </c>
      <c r="F415" s="155">
        <v>29161.66</v>
      </c>
      <c r="G415" s="123"/>
      <c r="H415" s="156">
        <f t="shared" si="26"/>
        <v>35461.660000000003</v>
      </c>
      <c r="I415" s="177">
        <v>35461.660000000003</v>
      </c>
      <c r="J415" s="165">
        <f t="shared" si="27"/>
        <v>0</v>
      </c>
      <c r="K415" s="165">
        <f t="shared" si="28"/>
        <v>0</v>
      </c>
    </row>
    <row r="416" spans="1:11" s="26" customFormat="1" ht="24" outlineLevel="1" x14ac:dyDescent="0.2">
      <c r="A416" s="150" t="s">
        <v>140</v>
      </c>
      <c r="B416" s="108">
        <v>43040</v>
      </c>
      <c r="C416" s="107">
        <v>43405</v>
      </c>
      <c r="D416" s="188">
        <v>45</v>
      </c>
      <c r="E416" s="155"/>
      <c r="F416" s="155">
        <v>32655.11</v>
      </c>
      <c r="G416" s="123"/>
      <c r="H416" s="156">
        <f t="shared" si="26"/>
        <v>32655.11</v>
      </c>
      <c r="I416" s="177">
        <v>32655.11</v>
      </c>
      <c r="J416" s="165">
        <f t="shared" si="27"/>
        <v>0</v>
      </c>
      <c r="K416" s="165">
        <f t="shared" si="28"/>
        <v>0</v>
      </c>
    </row>
    <row r="417" spans="1:11" s="26" customFormat="1" ht="12.75" outlineLevel="1" x14ac:dyDescent="0.2">
      <c r="A417" s="150" t="s">
        <v>1141</v>
      </c>
      <c r="B417" s="108">
        <v>43344</v>
      </c>
      <c r="C417" s="107">
        <v>43617</v>
      </c>
      <c r="D417" s="188">
        <v>45</v>
      </c>
      <c r="E417" s="155"/>
      <c r="F417" s="155">
        <v>30142.74</v>
      </c>
      <c r="G417" s="123"/>
      <c r="H417" s="156">
        <f t="shared" si="26"/>
        <v>30142.74</v>
      </c>
      <c r="I417" s="177">
        <v>30142.74</v>
      </c>
      <c r="J417" s="165">
        <f t="shared" si="27"/>
        <v>0</v>
      </c>
      <c r="K417" s="165">
        <f t="shared" si="28"/>
        <v>0</v>
      </c>
    </row>
    <row r="418" spans="1:11" s="26" customFormat="1" ht="12.75" outlineLevel="1" x14ac:dyDescent="0.2">
      <c r="A418" s="150" t="s">
        <v>331</v>
      </c>
      <c r="B418" s="108">
        <v>43191</v>
      </c>
      <c r="C418" s="107">
        <v>43466</v>
      </c>
      <c r="D418" s="188">
        <v>45</v>
      </c>
      <c r="E418" s="155">
        <v>7000</v>
      </c>
      <c r="F418" s="155">
        <v>22201.14</v>
      </c>
      <c r="G418" s="123"/>
      <c r="H418" s="156">
        <f t="shared" si="26"/>
        <v>29201.14</v>
      </c>
      <c r="I418" s="177">
        <v>29201.14</v>
      </c>
      <c r="J418" s="165">
        <f t="shared" si="27"/>
        <v>0</v>
      </c>
      <c r="K418" s="165">
        <f t="shared" si="28"/>
        <v>0</v>
      </c>
    </row>
    <row r="419" spans="1:11" s="26" customFormat="1" ht="12.75" outlineLevel="1" x14ac:dyDescent="0.2">
      <c r="A419" s="150" t="s">
        <v>1142</v>
      </c>
      <c r="B419" s="108">
        <v>43282</v>
      </c>
      <c r="C419" s="107">
        <v>43556</v>
      </c>
      <c r="D419" s="188">
        <v>45</v>
      </c>
      <c r="E419" s="155"/>
      <c r="F419" s="155">
        <v>27130.44</v>
      </c>
      <c r="G419" s="123"/>
      <c r="H419" s="156">
        <f t="shared" si="26"/>
        <v>27130.44</v>
      </c>
      <c r="I419" s="177">
        <v>27130.44</v>
      </c>
      <c r="J419" s="165">
        <f t="shared" si="27"/>
        <v>0</v>
      </c>
      <c r="K419" s="165">
        <f t="shared" si="28"/>
        <v>0</v>
      </c>
    </row>
    <row r="420" spans="1:11" s="26" customFormat="1" ht="24" outlineLevel="1" x14ac:dyDescent="0.2">
      <c r="A420" s="150" t="s">
        <v>1143</v>
      </c>
      <c r="B420" s="108">
        <v>43344</v>
      </c>
      <c r="C420" s="107">
        <v>43617</v>
      </c>
      <c r="D420" s="188">
        <v>45</v>
      </c>
      <c r="E420" s="155">
        <v>7300</v>
      </c>
      <c r="F420" s="155">
        <v>19445.46</v>
      </c>
      <c r="G420" s="123"/>
      <c r="H420" s="156">
        <f t="shared" si="26"/>
        <v>26745.46</v>
      </c>
      <c r="I420" s="177">
        <v>26745.46</v>
      </c>
      <c r="J420" s="165">
        <f t="shared" si="27"/>
        <v>0</v>
      </c>
      <c r="K420" s="165">
        <f t="shared" si="28"/>
        <v>0</v>
      </c>
    </row>
    <row r="421" spans="1:11" s="26" customFormat="1" ht="12.75" outlineLevel="1" x14ac:dyDescent="0.2">
      <c r="A421" s="150" t="s">
        <v>1144</v>
      </c>
      <c r="B421" s="108">
        <v>43344</v>
      </c>
      <c r="C421" s="107">
        <v>43617</v>
      </c>
      <c r="D421" s="188">
        <v>45</v>
      </c>
      <c r="E421" s="155"/>
      <c r="F421" s="155">
        <v>26685.39</v>
      </c>
      <c r="G421" s="123"/>
      <c r="H421" s="156">
        <f t="shared" si="26"/>
        <v>26685.39</v>
      </c>
      <c r="I421" s="177">
        <v>26685.39</v>
      </c>
      <c r="J421" s="165">
        <f t="shared" si="27"/>
        <v>0</v>
      </c>
      <c r="K421" s="165">
        <f t="shared" si="28"/>
        <v>0</v>
      </c>
    </row>
    <row r="422" spans="1:11" s="26" customFormat="1" ht="12.75" outlineLevel="1" x14ac:dyDescent="0.2">
      <c r="A422" s="150" t="s">
        <v>1145</v>
      </c>
      <c r="B422" s="108">
        <v>43344</v>
      </c>
      <c r="C422" s="107">
        <v>43617</v>
      </c>
      <c r="D422" s="188">
        <v>45</v>
      </c>
      <c r="E422" s="155"/>
      <c r="F422" s="155">
        <v>26110.54</v>
      </c>
      <c r="G422" s="123"/>
      <c r="H422" s="156">
        <f t="shared" si="26"/>
        <v>26110.54</v>
      </c>
      <c r="I422" s="177">
        <v>26110.54</v>
      </c>
      <c r="J422" s="165">
        <f t="shared" si="27"/>
        <v>0</v>
      </c>
      <c r="K422" s="165">
        <f t="shared" si="28"/>
        <v>0</v>
      </c>
    </row>
    <row r="423" spans="1:11" s="26" customFormat="1" ht="12.75" outlineLevel="1" x14ac:dyDescent="0.2">
      <c r="A423" s="150" t="s">
        <v>1146</v>
      </c>
      <c r="B423" s="108">
        <v>43344</v>
      </c>
      <c r="C423" s="107">
        <v>43617</v>
      </c>
      <c r="D423" s="188">
        <v>45</v>
      </c>
      <c r="E423" s="155"/>
      <c r="F423" s="155">
        <v>26028.53</v>
      </c>
      <c r="G423" s="123"/>
      <c r="H423" s="156">
        <f t="shared" ref="H423:H454" si="29">F423+E423</f>
        <v>26028.53</v>
      </c>
      <c r="I423" s="177">
        <v>26028.53</v>
      </c>
      <c r="J423" s="165">
        <f t="shared" si="27"/>
        <v>0</v>
      </c>
      <c r="K423" s="165">
        <f t="shared" si="28"/>
        <v>0</v>
      </c>
    </row>
    <row r="424" spans="1:11" s="26" customFormat="1" ht="24" outlineLevel="1" x14ac:dyDescent="0.2">
      <c r="A424" s="150" t="s">
        <v>1147</v>
      </c>
      <c r="B424" s="108">
        <v>43344</v>
      </c>
      <c r="C424" s="107">
        <v>43617</v>
      </c>
      <c r="D424" s="188">
        <v>45</v>
      </c>
      <c r="E424" s="155"/>
      <c r="F424" s="155">
        <v>25381.81</v>
      </c>
      <c r="G424" s="123"/>
      <c r="H424" s="156">
        <f t="shared" si="29"/>
        <v>25381.81</v>
      </c>
      <c r="I424" s="177">
        <v>25381.81</v>
      </c>
      <c r="J424" s="165">
        <f t="shared" si="27"/>
        <v>0</v>
      </c>
      <c r="K424" s="165">
        <f t="shared" si="28"/>
        <v>0</v>
      </c>
    </row>
    <row r="425" spans="1:11" s="26" customFormat="1" ht="12.75" outlineLevel="1" x14ac:dyDescent="0.2">
      <c r="A425" s="150" t="s">
        <v>1148</v>
      </c>
      <c r="B425" s="108">
        <v>43344</v>
      </c>
      <c r="C425" s="107">
        <v>43617</v>
      </c>
      <c r="D425" s="188">
        <v>45</v>
      </c>
      <c r="E425" s="155"/>
      <c r="F425" s="155">
        <v>24621.14</v>
      </c>
      <c r="G425" s="123"/>
      <c r="H425" s="156">
        <f t="shared" si="29"/>
        <v>24621.14</v>
      </c>
      <c r="I425" s="177">
        <v>24621.14</v>
      </c>
      <c r="J425" s="165">
        <f t="shared" si="27"/>
        <v>0</v>
      </c>
      <c r="K425" s="165">
        <f t="shared" si="28"/>
        <v>0</v>
      </c>
    </row>
    <row r="426" spans="1:11" s="26" customFormat="1" ht="24" outlineLevel="1" x14ac:dyDescent="0.2">
      <c r="A426" s="150" t="s">
        <v>1149</v>
      </c>
      <c r="B426" s="108">
        <v>43344</v>
      </c>
      <c r="C426" s="107">
        <v>43617</v>
      </c>
      <c r="D426" s="188">
        <v>45</v>
      </c>
      <c r="E426" s="155"/>
      <c r="F426" s="155">
        <v>24621.14</v>
      </c>
      <c r="G426" s="123"/>
      <c r="H426" s="156">
        <f t="shared" si="29"/>
        <v>24621.14</v>
      </c>
      <c r="I426" s="177">
        <v>24621.14</v>
      </c>
      <c r="J426" s="165">
        <f t="shared" si="27"/>
        <v>0</v>
      </c>
      <c r="K426" s="165">
        <f t="shared" si="28"/>
        <v>0</v>
      </c>
    </row>
    <row r="427" spans="1:11" s="26" customFormat="1" ht="24" outlineLevel="1" x14ac:dyDescent="0.2">
      <c r="A427" s="150" t="s">
        <v>1150</v>
      </c>
      <c r="B427" s="108">
        <v>43344</v>
      </c>
      <c r="C427" s="107">
        <v>43617</v>
      </c>
      <c r="D427" s="188">
        <v>45</v>
      </c>
      <c r="E427" s="155"/>
      <c r="F427" s="155">
        <v>24151.86</v>
      </c>
      <c r="G427" s="123"/>
      <c r="H427" s="156">
        <f t="shared" si="29"/>
        <v>24151.86</v>
      </c>
      <c r="I427" s="177">
        <v>24151.86</v>
      </c>
      <c r="J427" s="165">
        <f t="shared" si="27"/>
        <v>0</v>
      </c>
      <c r="K427" s="165">
        <f t="shared" si="28"/>
        <v>0</v>
      </c>
    </row>
    <row r="428" spans="1:11" s="26" customFormat="1" ht="12.75" outlineLevel="1" x14ac:dyDescent="0.2">
      <c r="A428" s="150" t="s">
        <v>821</v>
      </c>
      <c r="B428" s="108">
        <v>43252</v>
      </c>
      <c r="C428" s="107">
        <v>43525</v>
      </c>
      <c r="D428" s="188">
        <v>10</v>
      </c>
      <c r="E428" s="155">
        <v>24100</v>
      </c>
      <c r="F428" s="155"/>
      <c r="G428" s="123"/>
      <c r="H428" s="156">
        <f t="shared" si="29"/>
        <v>24100</v>
      </c>
      <c r="I428" s="177">
        <v>24100</v>
      </c>
      <c r="J428" s="165">
        <f t="shared" si="27"/>
        <v>0</v>
      </c>
      <c r="K428" s="165">
        <f t="shared" si="28"/>
        <v>0</v>
      </c>
    </row>
    <row r="429" spans="1:11" s="26" customFormat="1" ht="24" outlineLevel="1" x14ac:dyDescent="0.2">
      <c r="A429" s="150" t="s">
        <v>139</v>
      </c>
      <c r="B429" s="108">
        <v>42675</v>
      </c>
      <c r="C429" s="107">
        <v>43405</v>
      </c>
      <c r="D429" s="188">
        <v>45</v>
      </c>
      <c r="E429" s="155">
        <v>15000</v>
      </c>
      <c r="F429" s="155">
        <v>8269.84</v>
      </c>
      <c r="G429" s="123"/>
      <c r="H429" s="156">
        <f t="shared" si="29"/>
        <v>23269.84</v>
      </c>
      <c r="I429" s="177">
        <v>23269.84</v>
      </c>
      <c r="J429" s="165">
        <f t="shared" si="27"/>
        <v>0</v>
      </c>
      <c r="K429" s="165">
        <f t="shared" si="28"/>
        <v>0</v>
      </c>
    </row>
    <row r="430" spans="1:11" s="26" customFormat="1" ht="24" outlineLevel="1" x14ac:dyDescent="0.2">
      <c r="A430" s="150" t="s">
        <v>145</v>
      </c>
      <c r="B430" s="108">
        <v>43009</v>
      </c>
      <c r="C430" s="107">
        <v>43466</v>
      </c>
      <c r="D430" s="188">
        <v>70</v>
      </c>
      <c r="E430" s="155">
        <v>6161.53</v>
      </c>
      <c r="F430" s="155">
        <v>17004.03</v>
      </c>
      <c r="G430" s="123"/>
      <c r="H430" s="156">
        <f t="shared" si="29"/>
        <v>23165.559999999998</v>
      </c>
      <c r="I430" s="177">
        <v>23165.56</v>
      </c>
      <c r="J430" s="165">
        <f t="shared" si="27"/>
        <v>0</v>
      </c>
      <c r="K430" s="165">
        <f t="shared" si="28"/>
        <v>0</v>
      </c>
    </row>
    <row r="431" spans="1:11" s="26" customFormat="1" ht="24" outlineLevel="1" x14ac:dyDescent="0.2">
      <c r="A431" s="150" t="s">
        <v>1151</v>
      </c>
      <c r="B431" s="108">
        <v>43282</v>
      </c>
      <c r="C431" s="107">
        <v>43556</v>
      </c>
      <c r="D431" s="188">
        <v>45</v>
      </c>
      <c r="E431" s="155"/>
      <c r="F431" s="155">
        <v>20643.580000000002</v>
      </c>
      <c r="G431" s="123"/>
      <c r="H431" s="156">
        <f t="shared" si="29"/>
        <v>20643.580000000002</v>
      </c>
      <c r="I431" s="177">
        <v>20643.580000000002</v>
      </c>
      <c r="J431" s="165">
        <f t="shared" si="27"/>
        <v>0</v>
      </c>
      <c r="K431" s="165">
        <f t="shared" si="28"/>
        <v>0</v>
      </c>
    </row>
    <row r="432" spans="1:11" s="26" customFormat="1" ht="24" outlineLevel="1" x14ac:dyDescent="0.2">
      <c r="A432" s="150" t="s">
        <v>1152</v>
      </c>
      <c r="B432" s="108">
        <v>43344</v>
      </c>
      <c r="C432" s="107">
        <v>43617</v>
      </c>
      <c r="D432" s="188">
        <v>45</v>
      </c>
      <c r="E432" s="155"/>
      <c r="F432" s="155">
        <v>20434.95</v>
      </c>
      <c r="G432" s="123"/>
      <c r="H432" s="156">
        <f t="shared" si="29"/>
        <v>20434.95</v>
      </c>
      <c r="I432" s="177">
        <v>20434.95</v>
      </c>
      <c r="J432" s="165">
        <f t="shared" si="27"/>
        <v>0</v>
      </c>
      <c r="K432" s="165">
        <f t="shared" si="28"/>
        <v>0</v>
      </c>
    </row>
    <row r="433" spans="1:11" s="26" customFormat="1" ht="12.75" outlineLevel="1" x14ac:dyDescent="0.2">
      <c r="A433" s="150" t="s">
        <v>1153</v>
      </c>
      <c r="B433" s="108">
        <v>43252</v>
      </c>
      <c r="C433" s="107">
        <v>43525</v>
      </c>
      <c r="D433" s="188">
        <v>10</v>
      </c>
      <c r="E433" s="155">
        <v>20400</v>
      </c>
      <c r="F433" s="155"/>
      <c r="G433" s="123"/>
      <c r="H433" s="156">
        <f t="shared" si="29"/>
        <v>20400</v>
      </c>
      <c r="I433" s="177">
        <v>20400</v>
      </c>
      <c r="J433" s="165">
        <f t="shared" si="27"/>
        <v>0</v>
      </c>
      <c r="K433" s="165">
        <f t="shared" si="28"/>
        <v>0</v>
      </c>
    </row>
    <row r="434" spans="1:11" s="26" customFormat="1" ht="24" outlineLevel="1" x14ac:dyDescent="0.2">
      <c r="A434" s="150" t="s">
        <v>813</v>
      </c>
      <c r="B434" s="108">
        <v>43252</v>
      </c>
      <c r="C434" s="107">
        <v>43525</v>
      </c>
      <c r="D434" s="188">
        <v>45</v>
      </c>
      <c r="E434" s="155"/>
      <c r="F434" s="155">
        <v>19927.099999999999</v>
      </c>
      <c r="G434" s="123"/>
      <c r="H434" s="156">
        <f t="shared" si="29"/>
        <v>19927.099999999999</v>
      </c>
      <c r="I434" s="177">
        <v>19927.099999999999</v>
      </c>
      <c r="J434" s="165">
        <f t="shared" si="27"/>
        <v>0</v>
      </c>
      <c r="K434" s="165">
        <f t="shared" si="28"/>
        <v>0</v>
      </c>
    </row>
    <row r="435" spans="1:11" s="26" customFormat="1" ht="12.75" outlineLevel="1" x14ac:dyDescent="0.2">
      <c r="A435" s="150" t="s">
        <v>810</v>
      </c>
      <c r="B435" s="108">
        <v>43191</v>
      </c>
      <c r="C435" s="107">
        <v>43466</v>
      </c>
      <c r="D435" s="188">
        <v>45</v>
      </c>
      <c r="E435" s="155"/>
      <c r="F435" s="155">
        <v>19759.189999999999</v>
      </c>
      <c r="G435" s="123"/>
      <c r="H435" s="156">
        <f t="shared" si="29"/>
        <v>19759.189999999999</v>
      </c>
      <c r="I435" s="177">
        <v>19759.189999999999</v>
      </c>
      <c r="J435" s="165">
        <f t="shared" si="27"/>
        <v>0</v>
      </c>
      <c r="K435" s="165">
        <f t="shared" si="28"/>
        <v>0</v>
      </c>
    </row>
    <row r="436" spans="1:11" s="26" customFormat="1" ht="24" outlineLevel="1" x14ac:dyDescent="0.2">
      <c r="A436" s="150" t="s">
        <v>1154</v>
      </c>
      <c r="B436" s="108">
        <v>43070</v>
      </c>
      <c r="C436" s="107">
        <v>43435</v>
      </c>
      <c r="D436" s="188">
        <v>45</v>
      </c>
      <c r="E436" s="155"/>
      <c r="F436" s="155">
        <v>19718.759999999998</v>
      </c>
      <c r="G436" s="123"/>
      <c r="H436" s="156">
        <f t="shared" si="29"/>
        <v>19718.759999999998</v>
      </c>
      <c r="I436" s="177">
        <v>19718.759999999998</v>
      </c>
      <c r="J436" s="165">
        <f t="shared" si="27"/>
        <v>0</v>
      </c>
      <c r="K436" s="165">
        <f t="shared" si="28"/>
        <v>0</v>
      </c>
    </row>
    <row r="437" spans="1:11" s="26" customFormat="1" ht="12.75" outlineLevel="1" x14ac:dyDescent="0.2">
      <c r="A437" s="150" t="s">
        <v>1155</v>
      </c>
      <c r="B437" s="108">
        <v>43344</v>
      </c>
      <c r="C437" s="107">
        <v>43617</v>
      </c>
      <c r="D437" s="188">
        <v>45</v>
      </c>
      <c r="E437" s="155"/>
      <c r="F437" s="155">
        <v>19445.45</v>
      </c>
      <c r="G437" s="123"/>
      <c r="H437" s="156">
        <f t="shared" si="29"/>
        <v>19445.45</v>
      </c>
      <c r="I437" s="177">
        <v>19445.45</v>
      </c>
      <c r="J437" s="165">
        <f t="shared" si="27"/>
        <v>0</v>
      </c>
      <c r="K437" s="165">
        <f t="shared" si="28"/>
        <v>0</v>
      </c>
    </row>
    <row r="438" spans="1:11" s="26" customFormat="1" ht="12.75" outlineLevel="1" x14ac:dyDescent="0.2">
      <c r="A438" s="150" t="s">
        <v>333</v>
      </c>
      <c r="B438" s="108">
        <v>43101</v>
      </c>
      <c r="C438" s="107">
        <v>43435</v>
      </c>
      <c r="D438" s="188">
        <v>45</v>
      </c>
      <c r="E438" s="155">
        <v>6600</v>
      </c>
      <c r="F438" s="155">
        <v>12354.11</v>
      </c>
      <c r="G438" s="123"/>
      <c r="H438" s="156">
        <f t="shared" si="29"/>
        <v>18954.11</v>
      </c>
      <c r="I438" s="177">
        <v>18954.11</v>
      </c>
      <c r="J438" s="165">
        <f t="shared" si="27"/>
        <v>0</v>
      </c>
      <c r="K438" s="165">
        <f t="shared" si="28"/>
        <v>0</v>
      </c>
    </row>
    <row r="439" spans="1:11" s="26" customFormat="1" ht="12.75" outlineLevel="1" x14ac:dyDescent="0.2">
      <c r="A439" s="150" t="s">
        <v>1156</v>
      </c>
      <c r="B439" s="108">
        <v>43313</v>
      </c>
      <c r="C439" s="107">
        <v>43586</v>
      </c>
      <c r="D439" s="188">
        <v>10</v>
      </c>
      <c r="E439" s="155">
        <v>15200</v>
      </c>
      <c r="F439" s="155"/>
      <c r="G439" s="123"/>
      <c r="H439" s="156">
        <f t="shared" si="29"/>
        <v>15200</v>
      </c>
      <c r="I439" s="177">
        <v>15200</v>
      </c>
      <c r="J439" s="165">
        <f t="shared" si="27"/>
        <v>0</v>
      </c>
      <c r="K439" s="165">
        <f t="shared" si="28"/>
        <v>0</v>
      </c>
    </row>
    <row r="440" spans="1:11" s="26" customFormat="1" ht="12.75" outlineLevel="1" x14ac:dyDescent="0.2">
      <c r="A440" s="150" t="s">
        <v>1157</v>
      </c>
      <c r="B440" s="108">
        <v>43313</v>
      </c>
      <c r="C440" s="107">
        <v>43586</v>
      </c>
      <c r="D440" s="188">
        <v>10</v>
      </c>
      <c r="E440" s="155">
        <v>15200</v>
      </c>
      <c r="F440" s="155"/>
      <c r="G440" s="123"/>
      <c r="H440" s="156">
        <f t="shared" si="29"/>
        <v>15200</v>
      </c>
      <c r="I440" s="177">
        <v>15200</v>
      </c>
      <c r="J440" s="165">
        <f t="shared" si="27"/>
        <v>0</v>
      </c>
      <c r="K440" s="165">
        <f t="shared" si="28"/>
        <v>0</v>
      </c>
    </row>
    <row r="441" spans="1:11" s="26" customFormat="1" ht="12.75" outlineLevel="1" x14ac:dyDescent="0.2">
      <c r="A441" s="150" t="s">
        <v>217</v>
      </c>
      <c r="B441" s="108">
        <v>43070</v>
      </c>
      <c r="C441" s="107">
        <v>43435</v>
      </c>
      <c r="D441" s="188">
        <v>45</v>
      </c>
      <c r="E441" s="155"/>
      <c r="F441" s="155">
        <v>14781.55</v>
      </c>
      <c r="G441" s="123"/>
      <c r="H441" s="156">
        <f t="shared" si="29"/>
        <v>14781.55</v>
      </c>
      <c r="I441" s="177">
        <v>14781.55</v>
      </c>
      <c r="J441" s="165">
        <f t="shared" si="27"/>
        <v>0</v>
      </c>
      <c r="K441" s="165">
        <f t="shared" si="28"/>
        <v>0</v>
      </c>
    </row>
    <row r="442" spans="1:11" s="26" customFormat="1" ht="24" outlineLevel="1" x14ac:dyDescent="0.2">
      <c r="A442" s="150" t="s">
        <v>788</v>
      </c>
      <c r="B442" s="108">
        <v>43191</v>
      </c>
      <c r="C442" s="107">
        <v>43466</v>
      </c>
      <c r="D442" s="188">
        <v>45</v>
      </c>
      <c r="E442" s="155">
        <v>8800</v>
      </c>
      <c r="F442" s="155">
        <v>5879.34</v>
      </c>
      <c r="G442" s="123"/>
      <c r="H442" s="156">
        <f t="shared" si="29"/>
        <v>14679.34</v>
      </c>
      <c r="I442" s="177">
        <v>14679.34</v>
      </c>
      <c r="J442" s="165">
        <f t="shared" si="27"/>
        <v>0</v>
      </c>
      <c r="K442" s="165">
        <f t="shared" si="28"/>
        <v>0</v>
      </c>
    </row>
    <row r="443" spans="1:11" s="26" customFormat="1" ht="24" outlineLevel="1" x14ac:dyDescent="0.2">
      <c r="A443" s="150" t="s">
        <v>222</v>
      </c>
      <c r="B443" s="108">
        <v>43040</v>
      </c>
      <c r="C443" s="107">
        <v>43405</v>
      </c>
      <c r="D443" s="188">
        <v>45</v>
      </c>
      <c r="E443" s="155">
        <v>6500</v>
      </c>
      <c r="F443" s="155">
        <v>7728.76</v>
      </c>
      <c r="G443" s="123"/>
      <c r="H443" s="156">
        <f t="shared" si="29"/>
        <v>14228.76</v>
      </c>
      <c r="I443" s="177">
        <v>14228.76</v>
      </c>
      <c r="J443" s="165">
        <f t="shared" si="27"/>
        <v>0</v>
      </c>
      <c r="K443" s="165">
        <f t="shared" si="28"/>
        <v>0</v>
      </c>
    </row>
    <row r="444" spans="1:11" s="26" customFormat="1" ht="12.75" outlineLevel="1" x14ac:dyDescent="0.2">
      <c r="A444" s="150" t="s">
        <v>323</v>
      </c>
      <c r="B444" s="108">
        <v>43101</v>
      </c>
      <c r="C444" s="107">
        <v>43466</v>
      </c>
      <c r="D444" s="188">
        <v>45</v>
      </c>
      <c r="E444" s="155">
        <v>7200</v>
      </c>
      <c r="F444" s="155">
        <v>6532.15</v>
      </c>
      <c r="G444" s="123"/>
      <c r="H444" s="156">
        <f t="shared" si="29"/>
        <v>13732.15</v>
      </c>
      <c r="I444" s="177">
        <v>13732.15</v>
      </c>
      <c r="J444" s="165">
        <f t="shared" si="27"/>
        <v>0</v>
      </c>
      <c r="K444" s="165">
        <f t="shared" si="28"/>
        <v>0</v>
      </c>
    </row>
    <row r="445" spans="1:11" s="26" customFormat="1" ht="12.75" outlineLevel="1" x14ac:dyDescent="0.2">
      <c r="A445" s="150" t="s">
        <v>1158</v>
      </c>
      <c r="B445" s="108">
        <v>43344</v>
      </c>
      <c r="C445" s="107">
        <v>43617</v>
      </c>
      <c r="D445" s="188">
        <v>45</v>
      </c>
      <c r="E445" s="155"/>
      <c r="F445" s="155">
        <v>13467.32</v>
      </c>
      <c r="G445" s="123"/>
      <c r="H445" s="156">
        <f t="shared" si="29"/>
        <v>13467.32</v>
      </c>
      <c r="I445" s="177">
        <v>13467.32</v>
      </c>
      <c r="J445" s="165">
        <f t="shared" si="27"/>
        <v>0</v>
      </c>
      <c r="K445" s="165">
        <f t="shared" si="28"/>
        <v>0</v>
      </c>
    </row>
    <row r="446" spans="1:11" s="26" customFormat="1" ht="12.75" outlineLevel="1" x14ac:dyDescent="0.2">
      <c r="A446" s="150" t="s">
        <v>1159</v>
      </c>
      <c r="B446" s="108">
        <v>43344</v>
      </c>
      <c r="C446" s="107">
        <v>43617</v>
      </c>
      <c r="D446" s="188">
        <v>45</v>
      </c>
      <c r="E446" s="155"/>
      <c r="F446" s="155">
        <v>13463.85</v>
      </c>
      <c r="G446" s="123"/>
      <c r="H446" s="156">
        <f t="shared" si="29"/>
        <v>13463.85</v>
      </c>
      <c r="I446" s="177">
        <v>13463.85</v>
      </c>
      <c r="J446" s="165">
        <f t="shared" si="27"/>
        <v>0</v>
      </c>
      <c r="K446" s="165">
        <f t="shared" si="28"/>
        <v>0</v>
      </c>
    </row>
    <row r="447" spans="1:11" s="26" customFormat="1" ht="12.75" outlineLevel="1" x14ac:dyDescent="0.2">
      <c r="A447" s="150" t="s">
        <v>1160</v>
      </c>
      <c r="B447" s="108">
        <v>43313</v>
      </c>
      <c r="C447" s="107">
        <v>43586</v>
      </c>
      <c r="D447" s="188">
        <v>10</v>
      </c>
      <c r="E447" s="155">
        <v>13300</v>
      </c>
      <c r="F447" s="155"/>
      <c r="G447" s="123"/>
      <c r="H447" s="156">
        <f t="shared" si="29"/>
        <v>13300</v>
      </c>
      <c r="I447" s="177">
        <v>13300</v>
      </c>
      <c r="J447" s="165">
        <f t="shared" si="27"/>
        <v>0</v>
      </c>
      <c r="K447" s="165">
        <f t="shared" si="28"/>
        <v>0</v>
      </c>
    </row>
    <row r="448" spans="1:11" s="26" customFormat="1" ht="12.75" outlineLevel="1" x14ac:dyDescent="0.2">
      <c r="A448" s="150" t="s">
        <v>794</v>
      </c>
      <c r="B448" s="108">
        <v>43252</v>
      </c>
      <c r="C448" s="107">
        <v>43525</v>
      </c>
      <c r="D448" s="188">
        <v>45</v>
      </c>
      <c r="E448" s="155"/>
      <c r="F448" s="155">
        <v>13066.21</v>
      </c>
      <c r="G448" s="123"/>
      <c r="H448" s="156">
        <f t="shared" si="29"/>
        <v>13066.21</v>
      </c>
      <c r="I448" s="177">
        <v>13066.21</v>
      </c>
      <c r="J448" s="165">
        <f t="shared" si="27"/>
        <v>0</v>
      </c>
      <c r="K448" s="165">
        <f t="shared" si="28"/>
        <v>0</v>
      </c>
    </row>
    <row r="449" spans="1:11" s="26" customFormat="1" ht="12.75" outlineLevel="1" x14ac:dyDescent="0.2">
      <c r="A449" s="150" t="s">
        <v>225</v>
      </c>
      <c r="B449" s="108">
        <v>43070</v>
      </c>
      <c r="C449" s="107">
        <v>43435</v>
      </c>
      <c r="D449" s="188">
        <v>45</v>
      </c>
      <c r="E449" s="155">
        <v>6700</v>
      </c>
      <c r="F449" s="155">
        <v>6241.81</v>
      </c>
      <c r="G449" s="123"/>
      <c r="H449" s="156">
        <f t="shared" si="29"/>
        <v>12941.810000000001</v>
      </c>
      <c r="I449" s="177">
        <v>12941.81</v>
      </c>
      <c r="J449" s="165">
        <f t="shared" si="27"/>
        <v>0</v>
      </c>
      <c r="K449" s="165">
        <f t="shared" si="28"/>
        <v>0</v>
      </c>
    </row>
    <row r="450" spans="1:11" s="26" customFormat="1" ht="12.75" outlineLevel="1" x14ac:dyDescent="0.2">
      <c r="A450" s="150" t="s">
        <v>1161</v>
      </c>
      <c r="B450" s="108">
        <v>43313</v>
      </c>
      <c r="C450" s="107">
        <v>43586</v>
      </c>
      <c r="D450" s="188">
        <v>10</v>
      </c>
      <c r="E450" s="155">
        <v>12100</v>
      </c>
      <c r="F450" s="155"/>
      <c r="G450" s="123"/>
      <c r="H450" s="156">
        <f t="shared" si="29"/>
        <v>12100</v>
      </c>
      <c r="I450" s="177">
        <v>12100</v>
      </c>
      <c r="J450" s="165">
        <f t="shared" si="27"/>
        <v>0</v>
      </c>
      <c r="K450" s="165">
        <f t="shared" si="28"/>
        <v>0</v>
      </c>
    </row>
    <row r="451" spans="1:11" s="26" customFormat="1" ht="24" outlineLevel="1" x14ac:dyDescent="0.2">
      <c r="A451" s="150" t="s">
        <v>1162</v>
      </c>
      <c r="B451" s="108">
        <v>43070</v>
      </c>
      <c r="C451" s="107">
        <v>43435</v>
      </c>
      <c r="D451" s="188">
        <v>45</v>
      </c>
      <c r="E451" s="155">
        <v>6200</v>
      </c>
      <c r="F451" s="155">
        <v>5852.01</v>
      </c>
      <c r="G451" s="123"/>
      <c r="H451" s="156">
        <f t="shared" si="29"/>
        <v>12052.01</v>
      </c>
      <c r="I451" s="177">
        <v>12052.01</v>
      </c>
      <c r="J451" s="165">
        <f t="shared" si="27"/>
        <v>0</v>
      </c>
      <c r="K451" s="165">
        <f t="shared" si="28"/>
        <v>0</v>
      </c>
    </row>
    <row r="452" spans="1:11" s="26" customFormat="1" ht="36" outlineLevel="1" x14ac:dyDescent="0.2">
      <c r="A452" s="150" t="s">
        <v>151</v>
      </c>
      <c r="B452" s="108">
        <v>42736</v>
      </c>
      <c r="C452" s="107">
        <v>43466</v>
      </c>
      <c r="D452" s="188">
        <v>45</v>
      </c>
      <c r="E452" s="155">
        <v>5000</v>
      </c>
      <c r="F452" s="155">
        <v>6948.9</v>
      </c>
      <c r="G452" s="123"/>
      <c r="H452" s="156">
        <f t="shared" si="29"/>
        <v>11948.9</v>
      </c>
      <c r="I452" s="177">
        <v>11948.9</v>
      </c>
      <c r="J452" s="165">
        <f t="shared" si="27"/>
        <v>0</v>
      </c>
      <c r="K452" s="165">
        <f t="shared" si="28"/>
        <v>0</v>
      </c>
    </row>
    <row r="453" spans="1:11" s="26" customFormat="1" ht="12.75" outlineLevel="1" x14ac:dyDescent="0.2">
      <c r="A453" s="150" t="s">
        <v>221</v>
      </c>
      <c r="B453" s="108">
        <v>43070</v>
      </c>
      <c r="C453" s="107">
        <v>43435</v>
      </c>
      <c r="D453" s="188">
        <v>45</v>
      </c>
      <c r="E453" s="155">
        <v>6800</v>
      </c>
      <c r="F453" s="155">
        <v>4317.8100000000004</v>
      </c>
      <c r="G453" s="123"/>
      <c r="H453" s="156">
        <f t="shared" si="29"/>
        <v>11117.810000000001</v>
      </c>
      <c r="I453" s="177">
        <v>11117.81</v>
      </c>
      <c r="J453" s="165">
        <f t="shared" si="27"/>
        <v>0</v>
      </c>
      <c r="K453" s="165">
        <f t="shared" si="28"/>
        <v>0</v>
      </c>
    </row>
    <row r="454" spans="1:11" s="26" customFormat="1" ht="24" outlineLevel="1" x14ac:dyDescent="0.2">
      <c r="A454" s="150" t="s">
        <v>1163</v>
      </c>
      <c r="B454" s="108">
        <v>43313</v>
      </c>
      <c r="C454" s="107">
        <v>43586</v>
      </c>
      <c r="D454" s="188">
        <v>10</v>
      </c>
      <c r="E454" s="155">
        <v>10800</v>
      </c>
      <c r="F454" s="155"/>
      <c r="G454" s="123"/>
      <c r="H454" s="156">
        <f t="shared" si="29"/>
        <v>10800</v>
      </c>
      <c r="I454" s="177">
        <v>10800</v>
      </c>
      <c r="J454" s="165">
        <f t="shared" si="27"/>
        <v>0</v>
      </c>
      <c r="K454" s="165">
        <f t="shared" si="28"/>
        <v>0</v>
      </c>
    </row>
    <row r="455" spans="1:11" s="26" customFormat="1" ht="24" outlineLevel="1" x14ac:dyDescent="0.2">
      <c r="A455" s="150" t="s">
        <v>818</v>
      </c>
      <c r="B455" s="108">
        <v>43191</v>
      </c>
      <c r="C455" s="107">
        <v>43466</v>
      </c>
      <c r="D455" s="188">
        <v>45</v>
      </c>
      <c r="E455" s="155">
        <v>5600</v>
      </c>
      <c r="F455" s="155">
        <v>4608.3100000000004</v>
      </c>
      <c r="G455" s="123"/>
      <c r="H455" s="156">
        <f t="shared" ref="H455:H486" si="30">F455+E455</f>
        <v>10208.310000000001</v>
      </c>
      <c r="I455" s="177">
        <v>10208.31</v>
      </c>
      <c r="J455" s="165">
        <f t="shared" ref="J455:J518" si="31">H455-I455</f>
        <v>0</v>
      </c>
      <c r="K455" s="165">
        <f t="shared" ref="K455:K518" si="32">H455-I455</f>
        <v>0</v>
      </c>
    </row>
    <row r="456" spans="1:11" s="26" customFormat="1" ht="24" outlineLevel="1" x14ac:dyDescent="0.2">
      <c r="A456" s="150" t="s">
        <v>782</v>
      </c>
      <c r="B456" s="108">
        <v>43191</v>
      </c>
      <c r="C456" s="107">
        <v>43466</v>
      </c>
      <c r="D456" s="188">
        <v>45</v>
      </c>
      <c r="E456" s="155">
        <v>6500</v>
      </c>
      <c r="F456" s="155">
        <v>3400.06</v>
      </c>
      <c r="G456" s="123"/>
      <c r="H456" s="156">
        <f t="shared" si="30"/>
        <v>9900.06</v>
      </c>
      <c r="I456" s="177">
        <v>9900.06</v>
      </c>
      <c r="J456" s="165">
        <f t="shared" si="31"/>
        <v>0</v>
      </c>
      <c r="K456" s="165">
        <f t="shared" si="32"/>
        <v>0</v>
      </c>
    </row>
    <row r="457" spans="1:11" s="26" customFormat="1" ht="12.75" outlineLevel="1" x14ac:dyDescent="0.2">
      <c r="A457" s="150" t="s">
        <v>150</v>
      </c>
      <c r="B457" s="108">
        <v>42795</v>
      </c>
      <c r="C457" s="107">
        <v>43525</v>
      </c>
      <c r="D457" s="188">
        <v>10</v>
      </c>
      <c r="E457" s="155">
        <v>9500</v>
      </c>
      <c r="F457" s="155"/>
      <c r="G457" s="123"/>
      <c r="H457" s="156">
        <f t="shared" si="30"/>
        <v>9500</v>
      </c>
      <c r="I457" s="177">
        <v>9500</v>
      </c>
      <c r="J457" s="165">
        <f t="shared" si="31"/>
        <v>0</v>
      </c>
      <c r="K457" s="165">
        <f t="shared" si="32"/>
        <v>0</v>
      </c>
    </row>
    <row r="458" spans="1:11" s="26" customFormat="1" ht="12.75" outlineLevel="1" x14ac:dyDescent="0.2">
      <c r="A458" s="150" t="s">
        <v>803</v>
      </c>
      <c r="B458" s="108">
        <v>43191</v>
      </c>
      <c r="C458" s="107">
        <v>43466</v>
      </c>
      <c r="D458" s="188">
        <v>70</v>
      </c>
      <c r="E458" s="155">
        <v>5700</v>
      </c>
      <c r="F458" s="155">
        <v>3382.81</v>
      </c>
      <c r="G458" s="123"/>
      <c r="H458" s="156">
        <f t="shared" si="30"/>
        <v>9082.81</v>
      </c>
      <c r="I458" s="177">
        <v>9082.81</v>
      </c>
      <c r="J458" s="165">
        <f t="shared" si="31"/>
        <v>0</v>
      </c>
      <c r="K458" s="165">
        <f t="shared" si="32"/>
        <v>0</v>
      </c>
    </row>
    <row r="459" spans="1:11" s="26" customFormat="1" ht="12.75" outlineLevel="1" x14ac:dyDescent="0.2">
      <c r="A459" s="150" t="s">
        <v>1164</v>
      </c>
      <c r="B459" s="108">
        <v>43344</v>
      </c>
      <c r="C459" s="107">
        <v>43617</v>
      </c>
      <c r="D459" s="188">
        <v>45</v>
      </c>
      <c r="E459" s="155"/>
      <c r="F459" s="155">
        <v>9073.5499999999993</v>
      </c>
      <c r="G459" s="123"/>
      <c r="H459" s="156">
        <f t="shared" si="30"/>
        <v>9073.5499999999993</v>
      </c>
      <c r="I459" s="177">
        <v>9073.5499999999993</v>
      </c>
      <c r="J459" s="165">
        <f t="shared" si="31"/>
        <v>0</v>
      </c>
      <c r="K459" s="165">
        <f t="shared" si="32"/>
        <v>0</v>
      </c>
    </row>
    <row r="460" spans="1:11" s="26" customFormat="1" ht="24" outlineLevel="1" x14ac:dyDescent="0.2">
      <c r="A460" s="150" t="s">
        <v>1165</v>
      </c>
      <c r="B460" s="108">
        <v>43282</v>
      </c>
      <c r="C460" s="107">
        <v>43556</v>
      </c>
      <c r="D460" s="188">
        <v>45</v>
      </c>
      <c r="E460" s="155"/>
      <c r="F460" s="155">
        <v>8829.0499999999993</v>
      </c>
      <c r="G460" s="123"/>
      <c r="H460" s="156">
        <f t="shared" si="30"/>
        <v>8829.0499999999993</v>
      </c>
      <c r="I460" s="177">
        <v>8829.0499999999993</v>
      </c>
      <c r="J460" s="165">
        <f t="shared" si="31"/>
        <v>0</v>
      </c>
      <c r="K460" s="165">
        <f t="shared" si="32"/>
        <v>0</v>
      </c>
    </row>
    <row r="461" spans="1:11" s="26" customFormat="1" ht="12.75" outlineLevel="1" x14ac:dyDescent="0.2">
      <c r="A461" s="150" t="s">
        <v>1166</v>
      </c>
      <c r="B461" s="108">
        <v>43313</v>
      </c>
      <c r="C461" s="107">
        <v>43586</v>
      </c>
      <c r="D461" s="188">
        <v>10</v>
      </c>
      <c r="E461" s="155">
        <v>8800</v>
      </c>
      <c r="F461" s="155"/>
      <c r="G461" s="123"/>
      <c r="H461" s="156">
        <f t="shared" si="30"/>
        <v>8800</v>
      </c>
      <c r="I461" s="177">
        <v>8800</v>
      </c>
      <c r="J461" s="165">
        <f t="shared" si="31"/>
        <v>0</v>
      </c>
      <c r="K461" s="165">
        <f t="shared" si="32"/>
        <v>0</v>
      </c>
    </row>
    <row r="462" spans="1:11" s="26" customFormat="1" ht="24" outlineLevel="1" x14ac:dyDescent="0.2">
      <c r="A462" s="150" t="s">
        <v>149</v>
      </c>
      <c r="B462" s="108">
        <v>42979</v>
      </c>
      <c r="C462" s="107">
        <v>43709</v>
      </c>
      <c r="D462" s="188">
        <v>45</v>
      </c>
      <c r="E462" s="155">
        <v>6000</v>
      </c>
      <c r="F462" s="155">
        <v>2790.96</v>
      </c>
      <c r="G462" s="123"/>
      <c r="H462" s="156">
        <f t="shared" si="30"/>
        <v>8790.9599999999991</v>
      </c>
      <c r="I462" s="177">
        <v>8790.9599999999991</v>
      </c>
      <c r="J462" s="165">
        <f t="shared" si="31"/>
        <v>0</v>
      </c>
      <c r="K462" s="165">
        <f t="shared" si="32"/>
        <v>0</v>
      </c>
    </row>
    <row r="463" spans="1:11" s="26" customFormat="1" ht="12.75" outlineLevel="1" x14ac:dyDescent="0.2">
      <c r="A463" s="150" t="s">
        <v>785</v>
      </c>
      <c r="B463" s="108">
        <v>43191</v>
      </c>
      <c r="C463" s="107">
        <v>43466</v>
      </c>
      <c r="D463" s="188">
        <v>10</v>
      </c>
      <c r="E463" s="155">
        <v>8700</v>
      </c>
      <c r="F463" s="155"/>
      <c r="G463" s="123"/>
      <c r="H463" s="156">
        <f t="shared" si="30"/>
        <v>8700</v>
      </c>
      <c r="I463" s="177">
        <v>8700</v>
      </c>
      <c r="J463" s="165">
        <f t="shared" si="31"/>
        <v>0</v>
      </c>
      <c r="K463" s="165">
        <f t="shared" si="32"/>
        <v>0</v>
      </c>
    </row>
    <row r="464" spans="1:11" s="26" customFormat="1" ht="24" outlineLevel="1" x14ac:dyDescent="0.2">
      <c r="A464" s="150" t="s">
        <v>809</v>
      </c>
      <c r="B464" s="108">
        <v>43252</v>
      </c>
      <c r="C464" s="107">
        <v>43525</v>
      </c>
      <c r="D464" s="188">
        <v>45</v>
      </c>
      <c r="E464" s="155"/>
      <c r="F464" s="155">
        <v>8654.6200000000008</v>
      </c>
      <c r="G464" s="123"/>
      <c r="H464" s="156">
        <f t="shared" si="30"/>
        <v>8654.6200000000008</v>
      </c>
      <c r="I464" s="177">
        <v>8654.6200000000008</v>
      </c>
      <c r="J464" s="165">
        <f t="shared" si="31"/>
        <v>0</v>
      </c>
      <c r="K464" s="165">
        <f t="shared" si="32"/>
        <v>0</v>
      </c>
    </row>
    <row r="465" spans="1:11" s="26" customFormat="1" ht="24" outlineLevel="1" x14ac:dyDescent="0.2">
      <c r="A465" s="150" t="s">
        <v>1167</v>
      </c>
      <c r="B465" s="108">
        <v>43191</v>
      </c>
      <c r="C465" s="107">
        <v>43466</v>
      </c>
      <c r="D465" s="188">
        <v>10</v>
      </c>
      <c r="E465" s="155">
        <v>8600</v>
      </c>
      <c r="F465" s="155"/>
      <c r="G465" s="123"/>
      <c r="H465" s="156">
        <f t="shared" si="30"/>
        <v>8600</v>
      </c>
      <c r="I465" s="177">
        <v>8600</v>
      </c>
      <c r="J465" s="165">
        <f t="shared" si="31"/>
        <v>0</v>
      </c>
      <c r="K465" s="165">
        <f t="shared" si="32"/>
        <v>0</v>
      </c>
    </row>
    <row r="466" spans="1:11" s="26" customFormat="1" ht="12.75" outlineLevel="1" x14ac:dyDescent="0.2">
      <c r="A466" s="150" t="s">
        <v>1168</v>
      </c>
      <c r="B466" s="108">
        <v>43282</v>
      </c>
      <c r="C466" s="107">
        <v>43556</v>
      </c>
      <c r="D466" s="188">
        <v>45</v>
      </c>
      <c r="E466" s="155"/>
      <c r="F466" s="155">
        <v>8422.11</v>
      </c>
      <c r="G466" s="123"/>
      <c r="H466" s="156">
        <f t="shared" si="30"/>
        <v>8422.11</v>
      </c>
      <c r="I466" s="177">
        <v>8422.11</v>
      </c>
      <c r="J466" s="165">
        <f t="shared" si="31"/>
        <v>0</v>
      </c>
      <c r="K466" s="165">
        <f t="shared" si="32"/>
        <v>0</v>
      </c>
    </row>
    <row r="467" spans="1:11" s="26" customFormat="1" ht="12.75" outlineLevel="1" x14ac:dyDescent="0.2">
      <c r="A467" s="150" t="s">
        <v>1169</v>
      </c>
      <c r="B467" s="108">
        <v>43313</v>
      </c>
      <c r="C467" s="107">
        <v>43586</v>
      </c>
      <c r="D467" s="188">
        <v>45</v>
      </c>
      <c r="E467" s="155"/>
      <c r="F467" s="155">
        <v>8206.43</v>
      </c>
      <c r="G467" s="123"/>
      <c r="H467" s="156">
        <f t="shared" si="30"/>
        <v>8206.43</v>
      </c>
      <c r="I467" s="177">
        <v>8206.43</v>
      </c>
      <c r="J467" s="165">
        <f t="shared" si="31"/>
        <v>0</v>
      </c>
      <c r="K467" s="165">
        <f t="shared" si="32"/>
        <v>0</v>
      </c>
    </row>
    <row r="468" spans="1:11" s="26" customFormat="1" ht="12.75" outlineLevel="1" x14ac:dyDescent="0.2">
      <c r="A468" s="150" t="s">
        <v>1170</v>
      </c>
      <c r="B468" s="108">
        <v>43282</v>
      </c>
      <c r="C468" s="107">
        <v>43556</v>
      </c>
      <c r="D468" s="188">
        <v>45</v>
      </c>
      <c r="E468" s="155">
        <v>2700</v>
      </c>
      <c r="F468" s="155">
        <v>5329.92</v>
      </c>
      <c r="G468" s="123"/>
      <c r="H468" s="156">
        <f t="shared" si="30"/>
        <v>8029.92</v>
      </c>
      <c r="I468" s="177">
        <v>8029.92</v>
      </c>
      <c r="J468" s="165">
        <f t="shared" si="31"/>
        <v>0</v>
      </c>
      <c r="K468" s="165">
        <f t="shared" si="32"/>
        <v>0</v>
      </c>
    </row>
    <row r="469" spans="1:11" s="26" customFormat="1" ht="24" outlineLevel="1" x14ac:dyDescent="0.2">
      <c r="A469" s="150" t="s">
        <v>1171</v>
      </c>
      <c r="B469" s="108">
        <v>42826</v>
      </c>
      <c r="C469" s="107">
        <v>43556</v>
      </c>
      <c r="D469" s="188">
        <v>10</v>
      </c>
      <c r="E469" s="155">
        <v>8000</v>
      </c>
      <c r="F469" s="155"/>
      <c r="G469" s="123"/>
      <c r="H469" s="156">
        <f t="shared" si="30"/>
        <v>8000</v>
      </c>
      <c r="I469" s="177">
        <v>8000</v>
      </c>
      <c r="J469" s="165">
        <f t="shared" si="31"/>
        <v>0</v>
      </c>
      <c r="K469" s="165">
        <f t="shared" si="32"/>
        <v>0</v>
      </c>
    </row>
    <row r="470" spans="1:11" s="26" customFormat="1" ht="12.75" outlineLevel="1" x14ac:dyDescent="0.2">
      <c r="A470" s="150" t="s">
        <v>801</v>
      </c>
      <c r="B470" s="108">
        <v>43252</v>
      </c>
      <c r="C470" s="107">
        <v>43525</v>
      </c>
      <c r="D470" s="188">
        <v>45</v>
      </c>
      <c r="E470" s="155">
        <v>3400</v>
      </c>
      <c r="F470" s="155">
        <v>4566.18</v>
      </c>
      <c r="G470" s="123"/>
      <c r="H470" s="156">
        <f t="shared" si="30"/>
        <v>7966.18</v>
      </c>
      <c r="I470" s="177">
        <v>7966.18</v>
      </c>
      <c r="J470" s="165">
        <f t="shared" si="31"/>
        <v>0</v>
      </c>
      <c r="K470" s="165">
        <f t="shared" si="32"/>
        <v>0</v>
      </c>
    </row>
    <row r="471" spans="1:11" s="26" customFormat="1" ht="12.75" outlineLevel="1" x14ac:dyDescent="0.2">
      <c r="A471" s="150" t="s">
        <v>1172</v>
      </c>
      <c r="B471" s="108">
        <v>43313</v>
      </c>
      <c r="C471" s="107">
        <v>43586</v>
      </c>
      <c r="D471" s="188">
        <v>45</v>
      </c>
      <c r="E471" s="155"/>
      <c r="F471" s="155">
        <v>7745.14</v>
      </c>
      <c r="G471" s="123"/>
      <c r="H471" s="156">
        <f t="shared" si="30"/>
        <v>7745.14</v>
      </c>
      <c r="I471" s="177">
        <v>7745.14</v>
      </c>
      <c r="J471" s="165">
        <f t="shared" si="31"/>
        <v>0</v>
      </c>
      <c r="K471" s="165">
        <f t="shared" si="32"/>
        <v>0</v>
      </c>
    </row>
    <row r="472" spans="1:11" s="26" customFormat="1" ht="24" outlineLevel="1" x14ac:dyDescent="0.2">
      <c r="A472" s="150" t="s">
        <v>1173</v>
      </c>
      <c r="B472" s="108">
        <v>43344</v>
      </c>
      <c r="C472" s="107">
        <v>43617</v>
      </c>
      <c r="D472" s="188">
        <v>45</v>
      </c>
      <c r="E472" s="155"/>
      <c r="F472" s="155">
        <v>7504.85</v>
      </c>
      <c r="G472" s="123"/>
      <c r="H472" s="156">
        <f t="shared" si="30"/>
        <v>7504.85</v>
      </c>
      <c r="I472" s="177">
        <v>7504.85</v>
      </c>
      <c r="J472" s="165">
        <f t="shared" si="31"/>
        <v>0</v>
      </c>
      <c r="K472" s="165">
        <f t="shared" si="32"/>
        <v>0</v>
      </c>
    </row>
    <row r="473" spans="1:11" s="26" customFormat="1" ht="24" outlineLevel="1" x14ac:dyDescent="0.2">
      <c r="A473" s="150" t="s">
        <v>789</v>
      </c>
      <c r="B473" s="108">
        <v>43191</v>
      </c>
      <c r="C473" s="107">
        <v>43466</v>
      </c>
      <c r="D473" s="188">
        <v>10</v>
      </c>
      <c r="E473" s="155">
        <v>7300</v>
      </c>
      <c r="F473" s="155"/>
      <c r="G473" s="123"/>
      <c r="H473" s="156">
        <f t="shared" si="30"/>
        <v>7300</v>
      </c>
      <c r="I473" s="177">
        <v>7300</v>
      </c>
      <c r="J473" s="165">
        <f t="shared" si="31"/>
        <v>0</v>
      </c>
      <c r="K473" s="165">
        <f t="shared" si="32"/>
        <v>0</v>
      </c>
    </row>
    <row r="474" spans="1:11" s="26" customFormat="1" ht="12.75" outlineLevel="1" x14ac:dyDescent="0.2">
      <c r="A474" s="150" t="s">
        <v>329</v>
      </c>
      <c r="B474" s="108">
        <v>43160</v>
      </c>
      <c r="C474" s="107">
        <v>43466</v>
      </c>
      <c r="D474" s="188">
        <v>45</v>
      </c>
      <c r="E474" s="155"/>
      <c r="F474" s="155">
        <v>7258.77</v>
      </c>
      <c r="G474" s="123"/>
      <c r="H474" s="156">
        <f t="shared" si="30"/>
        <v>7258.77</v>
      </c>
      <c r="I474" s="177">
        <v>7258.77</v>
      </c>
      <c r="J474" s="165">
        <f t="shared" si="31"/>
        <v>0</v>
      </c>
      <c r="K474" s="165">
        <f t="shared" si="32"/>
        <v>0</v>
      </c>
    </row>
    <row r="475" spans="1:11" s="26" customFormat="1" ht="12.75" outlineLevel="1" x14ac:dyDescent="0.2">
      <c r="A475" s="150" t="s">
        <v>335</v>
      </c>
      <c r="B475" s="108">
        <v>43160</v>
      </c>
      <c r="C475" s="107">
        <v>43466</v>
      </c>
      <c r="D475" s="188">
        <v>45</v>
      </c>
      <c r="E475" s="155">
        <v>6900</v>
      </c>
      <c r="F475" s="155">
        <v>325.87</v>
      </c>
      <c r="G475" s="123"/>
      <c r="H475" s="156">
        <f t="shared" si="30"/>
        <v>7225.87</v>
      </c>
      <c r="I475" s="177">
        <v>7225.87</v>
      </c>
      <c r="J475" s="165">
        <f t="shared" si="31"/>
        <v>0</v>
      </c>
      <c r="K475" s="165">
        <f t="shared" si="32"/>
        <v>0</v>
      </c>
    </row>
    <row r="476" spans="1:11" s="26" customFormat="1" ht="24" outlineLevel="1" x14ac:dyDescent="0.2">
      <c r="A476" s="150" t="s">
        <v>1174</v>
      </c>
      <c r="B476" s="108">
        <v>43313</v>
      </c>
      <c r="C476" s="107">
        <v>43586</v>
      </c>
      <c r="D476" s="188">
        <v>10</v>
      </c>
      <c r="E476" s="155">
        <v>7200</v>
      </c>
      <c r="F476" s="155"/>
      <c r="G476" s="123"/>
      <c r="H476" s="156">
        <f t="shared" si="30"/>
        <v>7200</v>
      </c>
      <c r="I476" s="177">
        <v>7200</v>
      </c>
      <c r="J476" s="165">
        <f t="shared" si="31"/>
        <v>0</v>
      </c>
      <c r="K476" s="165">
        <f t="shared" si="32"/>
        <v>0</v>
      </c>
    </row>
    <row r="477" spans="1:11" ht="12.75" outlineLevel="1" x14ac:dyDescent="0.2">
      <c r="A477" s="150" t="s">
        <v>812</v>
      </c>
      <c r="B477" s="108">
        <v>43252</v>
      </c>
      <c r="C477" s="107">
        <v>43525</v>
      </c>
      <c r="D477" s="188">
        <v>45</v>
      </c>
      <c r="E477" s="155"/>
      <c r="F477" s="155">
        <v>7105.35</v>
      </c>
      <c r="G477" s="123"/>
      <c r="H477" s="156">
        <f t="shared" si="30"/>
        <v>7105.35</v>
      </c>
      <c r="I477" s="177">
        <v>7105.35</v>
      </c>
      <c r="J477" s="165">
        <f t="shared" si="31"/>
        <v>0</v>
      </c>
      <c r="K477" s="165">
        <f t="shared" si="32"/>
        <v>0</v>
      </c>
    </row>
    <row r="478" spans="1:11" s="4" customFormat="1" ht="31.5" customHeight="1" outlineLevel="1" x14ac:dyDescent="0.2">
      <c r="A478" s="150" t="s">
        <v>793</v>
      </c>
      <c r="B478" s="108">
        <v>43252</v>
      </c>
      <c r="C478" s="107">
        <v>43525</v>
      </c>
      <c r="D478" s="188">
        <v>45</v>
      </c>
      <c r="E478" s="155">
        <v>2800</v>
      </c>
      <c r="F478" s="155">
        <v>4267.2</v>
      </c>
      <c r="G478" s="123"/>
      <c r="H478" s="156">
        <f t="shared" si="30"/>
        <v>7067.2</v>
      </c>
      <c r="I478" s="177">
        <v>7067.2</v>
      </c>
      <c r="J478" s="165">
        <f t="shared" si="31"/>
        <v>0</v>
      </c>
      <c r="K478" s="165">
        <f t="shared" si="32"/>
        <v>0</v>
      </c>
    </row>
    <row r="479" spans="1:11" s="4" customFormat="1" ht="31.5" customHeight="1" outlineLevel="1" x14ac:dyDescent="0.2">
      <c r="A479" s="150" t="s">
        <v>1175</v>
      </c>
      <c r="B479" s="108">
        <v>43313</v>
      </c>
      <c r="C479" s="107">
        <v>43586</v>
      </c>
      <c r="D479" s="188">
        <v>45</v>
      </c>
      <c r="E479" s="155"/>
      <c r="F479" s="155">
        <v>6960.53</v>
      </c>
      <c r="G479" s="123"/>
      <c r="H479" s="156">
        <f t="shared" si="30"/>
        <v>6960.53</v>
      </c>
      <c r="I479" s="177">
        <v>6960.53</v>
      </c>
      <c r="J479" s="165">
        <f t="shared" si="31"/>
        <v>0</v>
      </c>
      <c r="K479" s="165">
        <f t="shared" si="32"/>
        <v>0</v>
      </c>
    </row>
    <row r="480" spans="1:11" s="15" customFormat="1" ht="23.25" customHeight="1" outlineLevel="1" x14ac:dyDescent="0.2">
      <c r="A480" s="150" t="s">
        <v>1176</v>
      </c>
      <c r="B480" s="108">
        <v>43344</v>
      </c>
      <c r="C480" s="107">
        <v>43617</v>
      </c>
      <c r="D480" s="188">
        <v>45</v>
      </c>
      <c r="E480" s="155"/>
      <c r="F480" s="155">
        <v>6839.98</v>
      </c>
      <c r="G480" s="123"/>
      <c r="H480" s="156">
        <f t="shared" si="30"/>
        <v>6839.98</v>
      </c>
      <c r="I480" s="177">
        <v>6839.98</v>
      </c>
      <c r="J480" s="165">
        <f t="shared" si="31"/>
        <v>0</v>
      </c>
      <c r="K480" s="165">
        <f t="shared" si="32"/>
        <v>0</v>
      </c>
    </row>
    <row r="481" spans="1:11" s="15" customFormat="1" ht="23.25" customHeight="1" outlineLevel="1" x14ac:dyDescent="0.2">
      <c r="A481" s="150" t="s">
        <v>1177</v>
      </c>
      <c r="B481" s="108">
        <v>43313</v>
      </c>
      <c r="C481" s="107">
        <v>43586</v>
      </c>
      <c r="D481" s="188">
        <v>10</v>
      </c>
      <c r="E481" s="155">
        <v>6800</v>
      </c>
      <c r="F481" s="155"/>
      <c r="G481" s="123"/>
      <c r="H481" s="156">
        <f t="shared" si="30"/>
        <v>6800</v>
      </c>
      <c r="I481" s="177">
        <v>6800</v>
      </c>
      <c r="J481" s="165">
        <f t="shared" si="31"/>
        <v>0</v>
      </c>
      <c r="K481" s="165">
        <f t="shared" si="32"/>
        <v>0</v>
      </c>
    </row>
    <row r="482" spans="1:11" s="15" customFormat="1" ht="23.25" customHeight="1" outlineLevel="1" x14ac:dyDescent="0.2">
      <c r="A482" s="150" t="s">
        <v>328</v>
      </c>
      <c r="B482" s="108">
        <v>43101</v>
      </c>
      <c r="C482" s="107">
        <v>43466</v>
      </c>
      <c r="D482" s="188">
        <v>10</v>
      </c>
      <c r="E482" s="155">
        <v>6800</v>
      </c>
      <c r="F482" s="155"/>
      <c r="G482" s="123"/>
      <c r="H482" s="156">
        <f t="shared" si="30"/>
        <v>6800</v>
      </c>
      <c r="I482" s="177">
        <v>6800</v>
      </c>
      <c r="J482" s="165">
        <f t="shared" si="31"/>
        <v>0</v>
      </c>
      <c r="K482" s="165">
        <f t="shared" si="32"/>
        <v>0</v>
      </c>
    </row>
    <row r="483" spans="1:11" s="4" customFormat="1" ht="31.5" customHeight="1" outlineLevel="1" x14ac:dyDescent="0.2">
      <c r="A483" s="150" t="s">
        <v>1178</v>
      </c>
      <c r="B483" s="108">
        <v>43344</v>
      </c>
      <c r="C483" s="107">
        <v>43617</v>
      </c>
      <c r="D483" s="188">
        <v>45</v>
      </c>
      <c r="E483" s="155"/>
      <c r="F483" s="155">
        <v>6794.96</v>
      </c>
      <c r="G483" s="123"/>
      <c r="H483" s="156">
        <f t="shared" si="30"/>
        <v>6794.96</v>
      </c>
      <c r="I483" s="177">
        <v>6794.96</v>
      </c>
      <c r="J483" s="165">
        <f t="shared" si="31"/>
        <v>0</v>
      </c>
      <c r="K483" s="165">
        <f t="shared" si="32"/>
        <v>0</v>
      </c>
    </row>
    <row r="484" spans="1:11" ht="27.75" customHeight="1" outlineLevel="1" x14ac:dyDescent="0.2">
      <c r="A484" s="150" t="s">
        <v>325</v>
      </c>
      <c r="B484" s="108">
        <v>43101</v>
      </c>
      <c r="C484" s="107">
        <v>43466</v>
      </c>
      <c r="D484" s="188">
        <v>10</v>
      </c>
      <c r="E484" s="155">
        <v>6700</v>
      </c>
      <c r="F484" s="155"/>
      <c r="G484" s="123"/>
      <c r="H484" s="156">
        <f t="shared" si="30"/>
        <v>6700</v>
      </c>
      <c r="I484" s="177">
        <v>6700</v>
      </c>
      <c r="J484" s="165">
        <f t="shared" si="31"/>
        <v>0</v>
      </c>
      <c r="K484" s="165">
        <f t="shared" si="32"/>
        <v>0</v>
      </c>
    </row>
    <row r="485" spans="1:11" ht="12.75" outlineLevel="1" x14ac:dyDescent="0.2">
      <c r="A485" s="150" t="s">
        <v>1179</v>
      </c>
      <c r="B485" s="108">
        <v>43282</v>
      </c>
      <c r="C485" s="107">
        <v>43556</v>
      </c>
      <c r="D485" s="188">
        <v>45</v>
      </c>
      <c r="E485" s="155"/>
      <c r="F485" s="155">
        <v>6672</v>
      </c>
      <c r="G485" s="123"/>
      <c r="H485" s="156">
        <f t="shared" si="30"/>
        <v>6672</v>
      </c>
      <c r="I485" s="177">
        <v>6672</v>
      </c>
      <c r="J485" s="165">
        <f t="shared" si="31"/>
        <v>0</v>
      </c>
      <c r="K485" s="165">
        <f t="shared" si="32"/>
        <v>0</v>
      </c>
    </row>
    <row r="486" spans="1:11" ht="12.75" outlineLevel="1" x14ac:dyDescent="0.2">
      <c r="A486" s="150" t="s">
        <v>817</v>
      </c>
      <c r="B486" s="108">
        <v>43221</v>
      </c>
      <c r="C486" s="107">
        <v>43497</v>
      </c>
      <c r="D486" s="188">
        <v>10</v>
      </c>
      <c r="E486" s="155">
        <v>6650.72</v>
      </c>
      <c r="F486" s="155"/>
      <c r="G486" s="123"/>
      <c r="H486" s="156">
        <f t="shared" si="30"/>
        <v>6650.72</v>
      </c>
      <c r="I486" s="177">
        <v>6650.72</v>
      </c>
      <c r="J486" s="165">
        <f t="shared" si="31"/>
        <v>0</v>
      </c>
      <c r="K486" s="165">
        <f t="shared" si="32"/>
        <v>0</v>
      </c>
    </row>
    <row r="487" spans="1:11" ht="12.75" outlineLevel="1" x14ac:dyDescent="0.2">
      <c r="A487" s="150" t="s">
        <v>802</v>
      </c>
      <c r="B487" s="108">
        <v>43252</v>
      </c>
      <c r="C487" s="107">
        <v>43525</v>
      </c>
      <c r="D487" s="188">
        <v>45</v>
      </c>
      <c r="E487" s="155"/>
      <c r="F487" s="155">
        <v>6601.24</v>
      </c>
      <c r="G487" s="123"/>
      <c r="H487" s="156">
        <f t="shared" ref="H487:H518" si="33">F487+E487</f>
        <v>6601.24</v>
      </c>
      <c r="I487" s="177">
        <v>6601.24</v>
      </c>
      <c r="J487" s="165">
        <f t="shared" si="31"/>
        <v>0</v>
      </c>
      <c r="K487" s="165">
        <f t="shared" si="32"/>
        <v>0</v>
      </c>
    </row>
    <row r="488" spans="1:11" ht="12.75" outlineLevel="1" x14ac:dyDescent="0.2">
      <c r="A488" s="150" t="s">
        <v>226</v>
      </c>
      <c r="B488" s="108">
        <v>43070</v>
      </c>
      <c r="C488" s="107">
        <v>43435</v>
      </c>
      <c r="D488" s="188">
        <v>45</v>
      </c>
      <c r="E488" s="155"/>
      <c r="F488" s="155">
        <v>6504.46</v>
      </c>
      <c r="G488" s="123"/>
      <c r="H488" s="156">
        <f t="shared" si="33"/>
        <v>6504.46</v>
      </c>
      <c r="I488" s="177">
        <v>6504.46</v>
      </c>
      <c r="J488" s="165">
        <f t="shared" si="31"/>
        <v>0</v>
      </c>
      <c r="K488" s="165">
        <f t="shared" si="32"/>
        <v>0</v>
      </c>
    </row>
    <row r="489" spans="1:11" ht="24" outlineLevel="1" x14ac:dyDescent="0.2">
      <c r="A489" s="150" t="s">
        <v>154</v>
      </c>
      <c r="B489" s="108">
        <v>42826</v>
      </c>
      <c r="C489" s="107">
        <v>43556</v>
      </c>
      <c r="D489" s="188">
        <v>10</v>
      </c>
      <c r="E489" s="155">
        <v>6500</v>
      </c>
      <c r="F489" s="155"/>
      <c r="G489" s="123"/>
      <c r="H489" s="156">
        <f t="shared" si="33"/>
        <v>6500</v>
      </c>
      <c r="I489" s="177">
        <v>6500</v>
      </c>
      <c r="J489" s="165">
        <f t="shared" si="31"/>
        <v>0</v>
      </c>
      <c r="K489" s="165">
        <f t="shared" si="32"/>
        <v>0</v>
      </c>
    </row>
    <row r="490" spans="1:11" ht="24" outlineLevel="1" x14ac:dyDescent="0.2">
      <c r="A490" s="150" t="s">
        <v>783</v>
      </c>
      <c r="B490" s="108">
        <v>43191</v>
      </c>
      <c r="C490" s="107">
        <v>43466</v>
      </c>
      <c r="D490" s="188">
        <v>10</v>
      </c>
      <c r="E490" s="155">
        <v>6500</v>
      </c>
      <c r="F490" s="155"/>
      <c r="G490" s="123"/>
      <c r="H490" s="156">
        <f t="shared" si="33"/>
        <v>6500</v>
      </c>
      <c r="I490" s="177">
        <v>6500</v>
      </c>
      <c r="J490" s="165">
        <f t="shared" si="31"/>
        <v>0</v>
      </c>
      <c r="K490" s="165">
        <f t="shared" si="32"/>
        <v>0</v>
      </c>
    </row>
    <row r="491" spans="1:11" ht="24" outlineLevel="1" x14ac:dyDescent="0.2">
      <c r="A491" s="150" t="s">
        <v>321</v>
      </c>
      <c r="B491" s="108">
        <v>43101</v>
      </c>
      <c r="C491" s="107">
        <v>43466</v>
      </c>
      <c r="D491" s="188">
        <v>10</v>
      </c>
      <c r="E491" s="155">
        <v>6500</v>
      </c>
      <c r="F491" s="155"/>
      <c r="G491" s="123"/>
      <c r="H491" s="156">
        <f t="shared" si="33"/>
        <v>6500</v>
      </c>
      <c r="I491" s="177">
        <v>6500</v>
      </c>
      <c r="J491" s="165">
        <f t="shared" si="31"/>
        <v>0</v>
      </c>
      <c r="K491" s="165">
        <f t="shared" si="32"/>
        <v>0</v>
      </c>
    </row>
    <row r="492" spans="1:11" ht="12.75" outlineLevel="1" x14ac:dyDescent="0.2">
      <c r="A492" s="150" t="s">
        <v>227</v>
      </c>
      <c r="B492" s="108">
        <v>43009</v>
      </c>
      <c r="C492" s="107">
        <v>43739</v>
      </c>
      <c r="D492" s="188">
        <v>10</v>
      </c>
      <c r="E492" s="155">
        <v>6500</v>
      </c>
      <c r="F492" s="155"/>
      <c r="G492" s="123"/>
      <c r="H492" s="156">
        <f t="shared" si="33"/>
        <v>6500</v>
      </c>
      <c r="I492" s="177">
        <v>6500</v>
      </c>
      <c r="J492" s="165">
        <f t="shared" si="31"/>
        <v>0</v>
      </c>
      <c r="K492" s="165">
        <f t="shared" si="32"/>
        <v>0</v>
      </c>
    </row>
    <row r="493" spans="1:11" ht="24" outlineLevel="1" x14ac:dyDescent="0.2">
      <c r="A493" s="150" t="s">
        <v>1180</v>
      </c>
      <c r="B493" s="108">
        <v>43313</v>
      </c>
      <c r="C493" s="107">
        <v>43586</v>
      </c>
      <c r="D493" s="188">
        <v>45</v>
      </c>
      <c r="E493" s="155">
        <v>2700</v>
      </c>
      <c r="F493" s="155">
        <v>3642.24</v>
      </c>
      <c r="G493" s="123"/>
      <c r="H493" s="156">
        <f t="shared" si="33"/>
        <v>6342.24</v>
      </c>
      <c r="I493" s="177">
        <v>6342.24</v>
      </c>
      <c r="J493" s="165">
        <f t="shared" si="31"/>
        <v>0</v>
      </c>
      <c r="K493" s="165">
        <f t="shared" si="32"/>
        <v>0</v>
      </c>
    </row>
    <row r="494" spans="1:11" ht="12.75" outlineLevel="1" x14ac:dyDescent="0.2">
      <c r="A494" s="150" t="s">
        <v>1181</v>
      </c>
      <c r="B494" s="108">
        <v>43252</v>
      </c>
      <c r="C494" s="107">
        <v>43525</v>
      </c>
      <c r="D494" s="188">
        <v>45</v>
      </c>
      <c r="E494" s="155"/>
      <c r="F494" s="155">
        <v>6300.84</v>
      </c>
      <c r="G494" s="123"/>
      <c r="H494" s="156">
        <f t="shared" si="33"/>
        <v>6300.84</v>
      </c>
      <c r="I494" s="177">
        <v>6300.84</v>
      </c>
      <c r="J494" s="165">
        <f t="shared" si="31"/>
        <v>0</v>
      </c>
      <c r="K494" s="165">
        <f t="shared" si="32"/>
        <v>0</v>
      </c>
    </row>
    <row r="495" spans="1:11" ht="24" outlineLevel="1" x14ac:dyDescent="0.2">
      <c r="A495" s="150" t="s">
        <v>787</v>
      </c>
      <c r="B495" s="108">
        <v>43252</v>
      </c>
      <c r="C495" s="107">
        <v>43525</v>
      </c>
      <c r="D495" s="188">
        <v>45</v>
      </c>
      <c r="E495" s="155"/>
      <c r="F495" s="155">
        <v>6285.3</v>
      </c>
      <c r="G495" s="123"/>
      <c r="H495" s="156">
        <f t="shared" si="33"/>
        <v>6285.3</v>
      </c>
      <c r="I495" s="177">
        <v>6285.3</v>
      </c>
      <c r="J495" s="165">
        <f t="shared" si="31"/>
        <v>0</v>
      </c>
      <c r="K495" s="165">
        <f t="shared" si="32"/>
        <v>0</v>
      </c>
    </row>
    <row r="496" spans="1:11" ht="12.75" outlineLevel="1" x14ac:dyDescent="0.2">
      <c r="A496" s="150" t="s">
        <v>799</v>
      </c>
      <c r="B496" s="108">
        <v>43252</v>
      </c>
      <c r="C496" s="107">
        <v>43525</v>
      </c>
      <c r="D496" s="188">
        <v>45</v>
      </c>
      <c r="E496" s="155"/>
      <c r="F496" s="155">
        <v>6190.17</v>
      </c>
      <c r="G496" s="123"/>
      <c r="H496" s="156">
        <f t="shared" si="33"/>
        <v>6190.17</v>
      </c>
      <c r="I496" s="177">
        <v>6190.17</v>
      </c>
      <c r="J496" s="165">
        <f t="shared" si="31"/>
        <v>0</v>
      </c>
      <c r="K496" s="165">
        <f t="shared" si="32"/>
        <v>0</v>
      </c>
    </row>
    <row r="497" spans="1:11" ht="24" outlineLevel="1" x14ac:dyDescent="0.2">
      <c r="A497" s="150" t="s">
        <v>815</v>
      </c>
      <c r="B497" s="108">
        <v>43252</v>
      </c>
      <c r="C497" s="107">
        <v>43525</v>
      </c>
      <c r="D497" s="188">
        <v>45</v>
      </c>
      <c r="E497" s="155"/>
      <c r="F497" s="155">
        <v>6127.36</v>
      </c>
      <c r="G497" s="123"/>
      <c r="H497" s="156">
        <f t="shared" si="33"/>
        <v>6127.36</v>
      </c>
      <c r="I497" s="177">
        <v>6127.36</v>
      </c>
      <c r="J497" s="165">
        <f t="shared" si="31"/>
        <v>0</v>
      </c>
      <c r="K497" s="165">
        <f t="shared" si="32"/>
        <v>0</v>
      </c>
    </row>
    <row r="498" spans="1:11" ht="24" outlineLevel="1" x14ac:dyDescent="0.2">
      <c r="A498" s="150" t="s">
        <v>796</v>
      </c>
      <c r="B498" s="108">
        <v>43221</v>
      </c>
      <c r="C498" s="107">
        <v>43497</v>
      </c>
      <c r="D498" s="188">
        <v>45</v>
      </c>
      <c r="E498" s="155"/>
      <c r="F498" s="155">
        <v>6086.18</v>
      </c>
      <c r="G498" s="123"/>
      <c r="H498" s="156">
        <f t="shared" si="33"/>
        <v>6086.18</v>
      </c>
      <c r="I498" s="177">
        <v>6086.18</v>
      </c>
      <c r="J498" s="165">
        <f t="shared" si="31"/>
        <v>0</v>
      </c>
      <c r="K498" s="165">
        <f t="shared" si="32"/>
        <v>0</v>
      </c>
    </row>
    <row r="499" spans="1:11" ht="24" outlineLevel="1" x14ac:dyDescent="0.2">
      <c r="A499" s="150" t="s">
        <v>781</v>
      </c>
      <c r="B499" s="108">
        <v>43191</v>
      </c>
      <c r="C499" s="107">
        <v>43466</v>
      </c>
      <c r="D499" s="188">
        <v>10</v>
      </c>
      <c r="E499" s="155">
        <v>6000</v>
      </c>
      <c r="F499" s="155"/>
      <c r="G499" s="123"/>
      <c r="H499" s="156">
        <f t="shared" si="33"/>
        <v>6000</v>
      </c>
      <c r="I499" s="177">
        <v>6000</v>
      </c>
      <c r="J499" s="165">
        <f t="shared" si="31"/>
        <v>0</v>
      </c>
      <c r="K499" s="165">
        <f t="shared" si="32"/>
        <v>0</v>
      </c>
    </row>
    <row r="500" spans="1:11" ht="24" outlineLevel="1" x14ac:dyDescent="0.2">
      <c r="A500" s="150" t="s">
        <v>808</v>
      </c>
      <c r="B500" s="108">
        <v>43191</v>
      </c>
      <c r="C500" s="107">
        <v>43466</v>
      </c>
      <c r="D500" s="188">
        <v>45</v>
      </c>
      <c r="E500" s="155"/>
      <c r="F500" s="155">
        <v>5928.05</v>
      </c>
      <c r="G500" s="123"/>
      <c r="H500" s="156">
        <f t="shared" si="33"/>
        <v>5928.05</v>
      </c>
      <c r="I500" s="177">
        <v>5928.05</v>
      </c>
      <c r="J500" s="165">
        <f t="shared" si="31"/>
        <v>0</v>
      </c>
      <c r="K500" s="165">
        <f t="shared" si="32"/>
        <v>0</v>
      </c>
    </row>
    <row r="501" spans="1:11" ht="12.75" outlineLevel="1" x14ac:dyDescent="0.2">
      <c r="A501" s="150" t="s">
        <v>800</v>
      </c>
      <c r="B501" s="108">
        <v>43191</v>
      </c>
      <c r="C501" s="107">
        <v>43466</v>
      </c>
      <c r="D501" s="188">
        <v>45</v>
      </c>
      <c r="E501" s="155"/>
      <c r="F501" s="155">
        <v>5914.23</v>
      </c>
      <c r="G501" s="123"/>
      <c r="H501" s="156">
        <f t="shared" si="33"/>
        <v>5914.23</v>
      </c>
      <c r="I501" s="177">
        <v>5914.23</v>
      </c>
      <c r="J501" s="165">
        <f t="shared" si="31"/>
        <v>0</v>
      </c>
      <c r="K501" s="165">
        <f t="shared" si="32"/>
        <v>0</v>
      </c>
    </row>
    <row r="502" spans="1:11" ht="12.75" outlineLevel="1" x14ac:dyDescent="0.2">
      <c r="A502" s="150" t="s">
        <v>1182</v>
      </c>
      <c r="B502" s="108">
        <v>43313</v>
      </c>
      <c r="C502" s="107">
        <v>43586</v>
      </c>
      <c r="D502" s="188">
        <v>45</v>
      </c>
      <c r="E502" s="155"/>
      <c r="F502" s="155">
        <v>5619.28</v>
      </c>
      <c r="G502" s="123"/>
      <c r="H502" s="156">
        <f t="shared" si="33"/>
        <v>5619.28</v>
      </c>
      <c r="I502" s="177">
        <v>5619.28</v>
      </c>
      <c r="J502" s="165">
        <f t="shared" si="31"/>
        <v>0</v>
      </c>
      <c r="K502" s="165">
        <f t="shared" si="32"/>
        <v>0</v>
      </c>
    </row>
    <row r="503" spans="1:11" ht="24" outlineLevel="1" x14ac:dyDescent="0.2">
      <c r="A503" s="150" t="s">
        <v>1183</v>
      </c>
      <c r="B503" s="108">
        <v>43282</v>
      </c>
      <c r="C503" s="107">
        <v>43556</v>
      </c>
      <c r="D503" s="188">
        <v>45</v>
      </c>
      <c r="E503" s="155"/>
      <c r="F503" s="155">
        <v>5606.78</v>
      </c>
      <c r="G503" s="123"/>
      <c r="H503" s="156">
        <f t="shared" si="33"/>
        <v>5606.78</v>
      </c>
      <c r="I503" s="177">
        <v>5606.78</v>
      </c>
      <c r="J503" s="165">
        <f t="shared" si="31"/>
        <v>0</v>
      </c>
      <c r="K503" s="165">
        <f t="shared" si="32"/>
        <v>0</v>
      </c>
    </row>
    <row r="504" spans="1:11" ht="12.75" outlineLevel="1" x14ac:dyDescent="0.2">
      <c r="A504" s="150" t="s">
        <v>1184</v>
      </c>
      <c r="B504" s="108">
        <v>43344</v>
      </c>
      <c r="C504" s="107">
        <v>43617</v>
      </c>
      <c r="D504" s="188">
        <v>45</v>
      </c>
      <c r="E504" s="155"/>
      <c r="F504" s="155">
        <v>5596.08</v>
      </c>
      <c r="G504" s="123"/>
      <c r="H504" s="156">
        <f t="shared" si="33"/>
        <v>5596.08</v>
      </c>
      <c r="I504" s="177">
        <v>5596.08</v>
      </c>
      <c r="J504" s="165">
        <f t="shared" si="31"/>
        <v>0</v>
      </c>
      <c r="K504" s="165">
        <f t="shared" si="32"/>
        <v>0</v>
      </c>
    </row>
    <row r="505" spans="1:11" ht="24" outlineLevel="1" x14ac:dyDescent="0.2">
      <c r="A505" s="150" t="s">
        <v>792</v>
      </c>
      <c r="B505" s="108">
        <v>43221</v>
      </c>
      <c r="C505" s="107">
        <v>43497</v>
      </c>
      <c r="D505" s="188">
        <v>45</v>
      </c>
      <c r="E505" s="155"/>
      <c r="F505" s="155">
        <v>5496.36</v>
      </c>
      <c r="G505" s="123"/>
      <c r="H505" s="156">
        <f t="shared" si="33"/>
        <v>5496.36</v>
      </c>
      <c r="I505" s="177">
        <v>5496.36</v>
      </c>
      <c r="J505" s="165">
        <f t="shared" si="31"/>
        <v>0</v>
      </c>
      <c r="K505" s="165">
        <f t="shared" si="32"/>
        <v>0</v>
      </c>
    </row>
    <row r="506" spans="1:11" ht="12.75" outlineLevel="1" x14ac:dyDescent="0.2">
      <c r="A506" s="150" t="s">
        <v>786</v>
      </c>
      <c r="B506" s="108">
        <v>43191</v>
      </c>
      <c r="C506" s="107">
        <v>43466</v>
      </c>
      <c r="D506" s="188">
        <v>45</v>
      </c>
      <c r="E506" s="155"/>
      <c r="F506" s="155">
        <v>5455.85</v>
      </c>
      <c r="G506" s="123"/>
      <c r="H506" s="156">
        <f t="shared" si="33"/>
        <v>5455.85</v>
      </c>
      <c r="I506" s="177">
        <v>5455.85</v>
      </c>
      <c r="J506" s="165">
        <f t="shared" si="31"/>
        <v>0</v>
      </c>
      <c r="K506" s="165">
        <f t="shared" si="32"/>
        <v>0</v>
      </c>
    </row>
    <row r="507" spans="1:11" ht="24" outlineLevel="1" x14ac:dyDescent="0.2">
      <c r="A507" s="150" t="s">
        <v>814</v>
      </c>
      <c r="B507" s="108">
        <v>43252</v>
      </c>
      <c r="C507" s="107">
        <v>43525</v>
      </c>
      <c r="D507" s="188">
        <v>45</v>
      </c>
      <c r="E507" s="155"/>
      <c r="F507" s="155">
        <v>5451.74</v>
      </c>
      <c r="G507" s="123"/>
      <c r="H507" s="156">
        <f t="shared" si="33"/>
        <v>5451.74</v>
      </c>
      <c r="I507" s="177">
        <v>5451.74</v>
      </c>
      <c r="J507" s="165">
        <f t="shared" si="31"/>
        <v>0</v>
      </c>
      <c r="K507" s="165">
        <f t="shared" si="32"/>
        <v>0</v>
      </c>
    </row>
    <row r="508" spans="1:11" ht="24" outlineLevel="1" x14ac:dyDescent="0.2">
      <c r="A508" s="150" t="s">
        <v>326</v>
      </c>
      <c r="B508" s="108">
        <v>43101</v>
      </c>
      <c r="C508" s="107">
        <v>43466</v>
      </c>
      <c r="D508" s="188">
        <v>45</v>
      </c>
      <c r="E508" s="155"/>
      <c r="F508" s="155">
        <v>5371.08</v>
      </c>
      <c r="G508" s="123"/>
      <c r="H508" s="156">
        <f t="shared" si="33"/>
        <v>5371.08</v>
      </c>
      <c r="I508" s="177">
        <v>5371.08</v>
      </c>
      <c r="J508" s="165">
        <f t="shared" si="31"/>
        <v>0</v>
      </c>
      <c r="K508" s="165">
        <f t="shared" si="32"/>
        <v>0</v>
      </c>
    </row>
    <row r="509" spans="1:11" ht="12.75" outlineLevel="1" x14ac:dyDescent="0.2">
      <c r="A509" s="150" t="s">
        <v>219</v>
      </c>
      <c r="B509" s="108">
        <v>43040</v>
      </c>
      <c r="C509" s="107">
        <v>43405</v>
      </c>
      <c r="D509" s="188">
        <v>45</v>
      </c>
      <c r="E509" s="155"/>
      <c r="F509" s="155">
        <v>5329.15</v>
      </c>
      <c r="G509" s="123"/>
      <c r="H509" s="156">
        <f t="shared" si="33"/>
        <v>5329.15</v>
      </c>
      <c r="I509" s="177">
        <v>5329.15</v>
      </c>
      <c r="J509" s="165">
        <f t="shared" si="31"/>
        <v>0</v>
      </c>
      <c r="K509" s="165">
        <f t="shared" si="32"/>
        <v>0</v>
      </c>
    </row>
    <row r="510" spans="1:11" ht="12.75" outlineLevel="1" x14ac:dyDescent="0.2">
      <c r="A510" s="150" t="s">
        <v>220</v>
      </c>
      <c r="B510" s="108">
        <v>43040</v>
      </c>
      <c r="C510" s="107">
        <v>43405</v>
      </c>
      <c r="D510" s="188">
        <v>45</v>
      </c>
      <c r="E510" s="155"/>
      <c r="F510" s="155">
        <v>5329.15</v>
      </c>
      <c r="G510" s="123"/>
      <c r="H510" s="156">
        <f t="shared" si="33"/>
        <v>5329.15</v>
      </c>
      <c r="I510" s="177">
        <v>5329.15</v>
      </c>
      <c r="J510" s="165">
        <f t="shared" si="31"/>
        <v>0</v>
      </c>
      <c r="K510" s="165">
        <f t="shared" si="32"/>
        <v>0</v>
      </c>
    </row>
    <row r="511" spans="1:11" ht="12.75" outlineLevel="1" x14ac:dyDescent="0.2">
      <c r="A511" s="150" t="s">
        <v>216</v>
      </c>
      <c r="B511" s="108">
        <v>43040</v>
      </c>
      <c r="C511" s="107">
        <v>43405</v>
      </c>
      <c r="D511" s="188">
        <v>45</v>
      </c>
      <c r="E511" s="155"/>
      <c r="F511" s="155">
        <v>5229.2</v>
      </c>
      <c r="G511" s="123"/>
      <c r="H511" s="156">
        <f t="shared" si="33"/>
        <v>5229.2</v>
      </c>
      <c r="I511" s="177">
        <v>5229.2</v>
      </c>
      <c r="J511" s="165">
        <f t="shared" si="31"/>
        <v>0</v>
      </c>
      <c r="K511" s="165">
        <f t="shared" si="32"/>
        <v>0</v>
      </c>
    </row>
    <row r="512" spans="1:11" ht="24" outlineLevel="1" x14ac:dyDescent="0.2">
      <c r="A512" s="150" t="s">
        <v>807</v>
      </c>
      <c r="B512" s="108">
        <v>43132</v>
      </c>
      <c r="C512" s="107">
        <v>43466</v>
      </c>
      <c r="D512" s="188">
        <v>45</v>
      </c>
      <c r="E512" s="155"/>
      <c r="F512" s="155">
        <v>5206.5200000000004</v>
      </c>
      <c r="G512" s="123"/>
      <c r="H512" s="156">
        <f t="shared" si="33"/>
        <v>5206.5200000000004</v>
      </c>
      <c r="I512" s="177">
        <v>5206.5200000000004</v>
      </c>
      <c r="J512" s="165">
        <f t="shared" si="31"/>
        <v>0</v>
      </c>
      <c r="K512" s="165">
        <f t="shared" si="32"/>
        <v>0</v>
      </c>
    </row>
    <row r="513" spans="1:11" ht="12.75" outlineLevel="1" x14ac:dyDescent="0.2">
      <c r="A513" s="150" t="s">
        <v>332</v>
      </c>
      <c r="B513" s="108">
        <v>43132</v>
      </c>
      <c r="C513" s="107">
        <v>43405</v>
      </c>
      <c r="D513" s="188">
        <v>45</v>
      </c>
      <c r="E513" s="155"/>
      <c r="F513" s="155">
        <v>4923.74</v>
      </c>
      <c r="G513" s="123"/>
      <c r="H513" s="156">
        <f t="shared" si="33"/>
        <v>4923.74</v>
      </c>
      <c r="I513" s="177">
        <v>4923.74</v>
      </c>
      <c r="J513" s="165">
        <f t="shared" si="31"/>
        <v>0</v>
      </c>
      <c r="K513" s="165">
        <f t="shared" si="32"/>
        <v>0</v>
      </c>
    </row>
    <row r="514" spans="1:11" ht="24" outlineLevel="1" x14ac:dyDescent="0.2">
      <c r="A514" s="150" t="s">
        <v>324</v>
      </c>
      <c r="B514" s="108">
        <v>43101</v>
      </c>
      <c r="C514" s="107">
        <v>43466</v>
      </c>
      <c r="D514" s="188">
        <v>45</v>
      </c>
      <c r="E514" s="155"/>
      <c r="F514" s="155">
        <v>4857.12</v>
      </c>
      <c r="G514" s="123"/>
      <c r="H514" s="156">
        <f t="shared" si="33"/>
        <v>4857.12</v>
      </c>
      <c r="I514" s="177">
        <v>4857.12</v>
      </c>
      <c r="J514" s="165">
        <f t="shared" si="31"/>
        <v>0</v>
      </c>
      <c r="K514" s="165">
        <f t="shared" si="32"/>
        <v>0</v>
      </c>
    </row>
    <row r="515" spans="1:11" ht="24" outlineLevel="1" x14ac:dyDescent="0.2">
      <c r="A515" s="150" t="s">
        <v>330</v>
      </c>
      <c r="B515" s="108">
        <v>43132</v>
      </c>
      <c r="C515" s="107">
        <v>43405</v>
      </c>
      <c r="D515" s="188">
        <v>45</v>
      </c>
      <c r="E515" s="155"/>
      <c r="F515" s="155">
        <v>4773.16</v>
      </c>
      <c r="G515" s="123"/>
      <c r="H515" s="156">
        <f t="shared" si="33"/>
        <v>4773.16</v>
      </c>
      <c r="I515" s="177">
        <v>4773.16</v>
      </c>
      <c r="J515" s="165">
        <f t="shared" si="31"/>
        <v>0</v>
      </c>
      <c r="K515" s="165">
        <f t="shared" si="32"/>
        <v>0</v>
      </c>
    </row>
    <row r="516" spans="1:11" ht="12.75" outlineLevel="1" x14ac:dyDescent="0.2">
      <c r="A516" s="150" t="s">
        <v>1185</v>
      </c>
      <c r="B516" s="108">
        <v>43313</v>
      </c>
      <c r="C516" s="107">
        <v>43586</v>
      </c>
      <c r="D516" s="188">
        <v>10</v>
      </c>
      <c r="E516" s="155">
        <v>4600</v>
      </c>
      <c r="F516" s="155"/>
      <c r="G516" s="123"/>
      <c r="H516" s="156">
        <f t="shared" si="33"/>
        <v>4600</v>
      </c>
      <c r="I516" s="177">
        <v>4600</v>
      </c>
      <c r="J516" s="165">
        <f t="shared" si="31"/>
        <v>0</v>
      </c>
      <c r="K516" s="165">
        <f t="shared" si="32"/>
        <v>0</v>
      </c>
    </row>
    <row r="517" spans="1:11" ht="24" outlineLevel="1" x14ac:dyDescent="0.2">
      <c r="A517" s="150" t="s">
        <v>804</v>
      </c>
      <c r="B517" s="108">
        <v>43252</v>
      </c>
      <c r="C517" s="107">
        <v>43525</v>
      </c>
      <c r="D517" s="188">
        <v>45</v>
      </c>
      <c r="E517" s="155"/>
      <c r="F517" s="178">
        <v>4599.13</v>
      </c>
      <c r="G517" s="123"/>
      <c r="H517" s="156">
        <f t="shared" si="33"/>
        <v>4599.13</v>
      </c>
      <c r="I517" s="177">
        <v>4599.13</v>
      </c>
      <c r="J517" s="165">
        <f t="shared" si="31"/>
        <v>0</v>
      </c>
      <c r="K517" s="165">
        <f t="shared" si="32"/>
        <v>0</v>
      </c>
    </row>
    <row r="518" spans="1:11" ht="24" outlineLevel="1" x14ac:dyDescent="0.2">
      <c r="A518" s="150" t="s">
        <v>144</v>
      </c>
      <c r="B518" s="108">
        <v>43101</v>
      </c>
      <c r="C518" s="107">
        <v>43466</v>
      </c>
      <c r="D518" s="188">
        <v>45</v>
      </c>
      <c r="E518" s="155"/>
      <c r="F518" s="178">
        <v>4568.78</v>
      </c>
      <c r="G518" s="123"/>
      <c r="H518" s="156">
        <f t="shared" si="33"/>
        <v>4568.78</v>
      </c>
      <c r="I518" s="177">
        <v>4568.78</v>
      </c>
      <c r="J518" s="165">
        <f t="shared" si="31"/>
        <v>0</v>
      </c>
      <c r="K518" s="165">
        <f t="shared" si="32"/>
        <v>0</v>
      </c>
    </row>
    <row r="519" spans="1:11" ht="24" outlineLevel="1" x14ac:dyDescent="0.2">
      <c r="A519" s="150" t="s">
        <v>1186</v>
      </c>
      <c r="B519" s="108">
        <v>43282</v>
      </c>
      <c r="C519" s="107">
        <v>43556</v>
      </c>
      <c r="D519" s="188">
        <v>45</v>
      </c>
      <c r="E519" s="155"/>
      <c r="F519" s="178">
        <v>4559.8900000000003</v>
      </c>
      <c r="G519" s="123"/>
      <c r="H519" s="156">
        <f t="shared" ref="H519:H553" si="34">F519+E519</f>
        <v>4559.8900000000003</v>
      </c>
      <c r="I519" s="177">
        <v>4559.8900000000003</v>
      </c>
      <c r="J519" s="165">
        <f t="shared" ref="J519:J553" si="35">H519-I519</f>
        <v>0</v>
      </c>
      <c r="K519" s="165">
        <f t="shared" ref="K519:K553" si="36">H519-I519</f>
        <v>0</v>
      </c>
    </row>
    <row r="520" spans="1:11" ht="12.75" outlineLevel="1" x14ac:dyDescent="0.2">
      <c r="A520" s="150" t="s">
        <v>1187</v>
      </c>
      <c r="B520" s="108">
        <v>43282</v>
      </c>
      <c r="C520" s="107">
        <v>43556</v>
      </c>
      <c r="D520" s="188">
        <v>45</v>
      </c>
      <c r="E520" s="155"/>
      <c r="F520" s="178">
        <v>4498.1099999999997</v>
      </c>
      <c r="G520" s="123"/>
      <c r="H520" s="156">
        <f t="shared" si="34"/>
        <v>4498.1099999999997</v>
      </c>
      <c r="I520" s="177">
        <v>4498.1099999999997</v>
      </c>
      <c r="J520" s="165">
        <f t="shared" si="35"/>
        <v>0</v>
      </c>
      <c r="K520" s="165">
        <f t="shared" si="36"/>
        <v>0</v>
      </c>
    </row>
    <row r="521" spans="1:11" ht="12.75" outlineLevel="1" x14ac:dyDescent="0.2">
      <c r="A521" s="150" t="s">
        <v>1188</v>
      </c>
      <c r="B521" s="108">
        <v>43282</v>
      </c>
      <c r="C521" s="107">
        <v>43556</v>
      </c>
      <c r="D521" s="188">
        <v>45</v>
      </c>
      <c r="E521" s="155"/>
      <c r="F521" s="178">
        <v>4354.6400000000003</v>
      </c>
      <c r="G521" s="123"/>
      <c r="H521" s="156">
        <f t="shared" si="34"/>
        <v>4354.6400000000003</v>
      </c>
      <c r="I521" s="177">
        <v>4354.6400000000003</v>
      </c>
      <c r="J521" s="165">
        <f t="shared" si="35"/>
        <v>0</v>
      </c>
      <c r="K521" s="165">
        <f t="shared" si="36"/>
        <v>0</v>
      </c>
    </row>
    <row r="522" spans="1:11" ht="12.75" outlineLevel="1" x14ac:dyDescent="0.2">
      <c r="A522" s="150" t="s">
        <v>1189</v>
      </c>
      <c r="B522" s="108">
        <v>43313</v>
      </c>
      <c r="C522" s="107">
        <v>43586</v>
      </c>
      <c r="D522" s="188">
        <v>10</v>
      </c>
      <c r="E522" s="155">
        <v>4200</v>
      </c>
      <c r="F522" s="155"/>
      <c r="G522" s="123"/>
      <c r="H522" s="156">
        <f t="shared" si="34"/>
        <v>4200</v>
      </c>
      <c r="I522" s="177">
        <v>4200</v>
      </c>
      <c r="J522" s="165">
        <f t="shared" si="35"/>
        <v>0</v>
      </c>
      <c r="K522" s="165">
        <f t="shared" si="36"/>
        <v>0</v>
      </c>
    </row>
    <row r="523" spans="1:11" ht="24" outlineLevel="1" x14ac:dyDescent="0.2">
      <c r="A523" s="150" t="s">
        <v>797</v>
      </c>
      <c r="B523" s="108">
        <v>43191</v>
      </c>
      <c r="C523" s="107">
        <v>43466</v>
      </c>
      <c r="D523" s="188">
        <v>45</v>
      </c>
      <c r="E523" s="155"/>
      <c r="F523" s="155">
        <v>4127.9799999999996</v>
      </c>
      <c r="G523" s="123"/>
      <c r="H523" s="156">
        <f t="shared" si="34"/>
        <v>4127.9799999999996</v>
      </c>
      <c r="I523" s="177">
        <v>4127.9799999999996</v>
      </c>
      <c r="J523" s="165">
        <f t="shared" si="35"/>
        <v>0</v>
      </c>
      <c r="K523" s="165">
        <f t="shared" si="36"/>
        <v>0</v>
      </c>
    </row>
    <row r="524" spans="1:11" ht="12.75" outlineLevel="1" x14ac:dyDescent="0.2">
      <c r="A524" s="150" t="s">
        <v>1190</v>
      </c>
      <c r="B524" s="108">
        <v>43313</v>
      </c>
      <c r="C524" s="107">
        <v>43586</v>
      </c>
      <c r="D524" s="188">
        <v>10</v>
      </c>
      <c r="E524" s="155">
        <v>4100</v>
      </c>
      <c r="F524" s="155"/>
      <c r="G524" s="123"/>
      <c r="H524" s="156">
        <f t="shared" si="34"/>
        <v>4100</v>
      </c>
      <c r="I524" s="177">
        <v>4100</v>
      </c>
      <c r="J524" s="165">
        <f t="shared" si="35"/>
        <v>0</v>
      </c>
      <c r="K524" s="165">
        <f t="shared" si="36"/>
        <v>0</v>
      </c>
    </row>
    <row r="525" spans="1:11" ht="12.75" outlineLevel="1" x14ac:dyDescent="0.2">
      <c r="A525" s="150" t="s">
        <v>1191</v>
      </c>
      <c r="B525" s="108">
        <v>43344</v>
      </c>
      <c r="C525" s="107">
        <v>43617</v>
      </c>
      <c r="D525" s="188">
        <v>45</v>
      </c>
      <c r="E525" s="155"/>
      <c r="F525" s="155">
        <v>3923.12</v>
      </c>
      <c r="G525" s="123"/>
      <c r="H525" s="156">
        <f t="shared" si="34"/>
        <v>3923.12</v>
      </c>
      <c r="I525" s="177">
        <v>3923.12</v>
      </c>
      <c r="J525" s="165">
        <f t="shared" si="35"/>
        <v>0</v>
      </c>
      <c r="K525" s="165">
        <f t="shared" si="36"/>
        <v>0</v>
      </c>
    </row>
    <row r="526" spans="1:11" ht="12.75" outlineLevel="1" x14ac:dyDescent="0.2">
      <c r="A526" s="150" t="s">
        <v>1192</v>
      </c>
      <c r="B526" s="108">
        <v>43344</v>
      </c>
      <c r="C526" s="107">
        <v>43617</v>
      </c>
      <c r="D526" s="188">
        <v>45</v>
      </c>
      <c r="E526" s="155"/>
      <c r="F526" s="155">
        <v>3805.52</v>
      </c>
      <c r="G526" s="123"/>
      <c r="H526" s="156">
        <f t="shared" si="34"/>
        <v>3805.52</v>
      </c>
      <c r="I526" s="177">
        <v>3805.52</v>
      </c>
      <c r="J526" s="165">
        <f t="shared" si="35"/>
        <v>0</v>
      </c>
      <c r="K526" s="165">
        <f t="shared" si="36"/>
        <v>0</v>
      </c>
    </row>
    <row r="527" spans="1:11" ht="24" outlineLevel="1" x14ac:dyDescent="0.2">
      <c r="A527" s="150" t="s">
        <v>790</v>
      </c>
      <c r="B527" s="108">
        <v>43252</v>
      </c>
      <c r="C527" s="107">
        <v>43525</v>
      </c>
      <c r="D527" s="188">
        <v>10</v>
      </c>
      <c r="E527" s="155">
        <v>3800</v>
      </c>
      <c r="F527" s="155"/>
      <c r="G527" s="123"/>
      <c r="H527" s="156">
        <f t="shared" si="34"/>
        <v>3800</v>
      </c>
      <c r="I527" s="177">
        <v>3800</v>
      </c>
      <c r="J527" s="165">
        <f t="shared" si="35"/>
        <v>0</v>
      </c>
      <c r="K527" s="165">
        <f t="shared" si="36"/>
        <v>0</v>
      </c>
    </row>
    <row r="528" spans="1:11" ht="24" outlineLevel="1" x14ac:dyDescent="0.2">
      <c r="A528" s="150" t="s">
        <v>1193</v>
      </c>
      <c r="B528" s="108">
        <v>43313</v>
      </c>
      <c r="C528" s="107">
        <v>43586</v>
      </c>
      <c r="D528" s="188">
        <v>45</v>
      </c>
      <c r="E528" s="155"/>
      <c r="F528" s="178">
        <v>3772.18</v>
      </c>
      <c r="G528" s="123"/>
      <c r="H528" s="156">
        <f t="shared" si="34"/>
        <v>3772.18</v>
      </c>
      <c r="I528" s="177">
        <v>3772.18</v>
      </c>
      <c r="J528" s="165">
        <f t="shared" si="35"/>
        <v>0</v>
      </c>
      <c r="K528" s="165">
        <f t="shared" si="36"/>
        <v>0</v>
      </c>
    </row>
    <row r="529" spans="1:11" ht="12.75" outlineLevel="1" x14ac:dyDescent="0.2">
      <c r="A529" s="150" t="s">
        <v>322</v>
      </c>
      <c r="B529" s="108">
        <v>43101</v>
      </c>
      <c r="C529" s="107">
        <v>43466</v>
      </c>
      <c r="D529" s="188">
        <v>45</v>
      </c>
      <c r="E529" s="155"/>
      <c r="F529" s="178">
        <v>3721.37</v>
      </c>
      <c r="G529" s="123"/>
      <c r="H529" s="156">
        <f t="shared" si="34"/>
        <v>3721.37</v>
      </c>
      <c r="I529" s="177">
        <v>3721.37</v>
      </c>
      <c r="J529" s="165">
        <f t="shared" si="35"/>
        <v>0</v>
      </c>
      <c r="K529" s="165">
        <f t="shared" si="36"/>
        <v>0</v>
      </c>
    </row>
    <row r="530" spans="1:11" ht="12.75" outlineLevel="1" x14ac:dyDescent="0.2">
      <c r="A530" s="150" t="s">
        <v>1194</v>
      </c>
      <c r="B530" s="108">
        <v>43282</v>
      </c>
      <c r="C530" s="107">
        <v>43556</v>
      </c>
      <c r="D530" s="188">
        <v>45</v>
      </c>
      <c r="E530" s="155"/>
      <c r="F530" s="178">
        <v>3717.96</v>
      </c>
      <c r="G530" s="123"/>
      <c r="H530" s="156">
        <f t="shared" si="34"/>
        <v>3717.96</v>
      </c>
      <c r="I530" s="177">
        <v>3717.96</v>
      </c>
      <c r="J530" s="165">
        <f t="shared" si="35"/>
        <v>0</v>
      </c>
      <c r="K530" s="165">
        <f t="shared" si="36"/>
        <v>0</v>
      </c>
    </row>
    <row r="531" spans="1:11" ht="12.75" outlineLevel="1" x14ac:dyDescent="0.2">
      <c r="A531" s="150" t="s">
        <v>1195</v>
      </c>
      <c r="B531" s="108">
        <v>43282</v>
      </c>
      <c r="C531" s="107">
        <v>43556</v>
      </c>
      <c r="D531" s="188">
        <v>45</v>
      </c>
      <c r="E531" s="155"/>
      <c r="F531" s="178">
        <v>3707.27</v>
      </c>
      <c r="G531" s="123"/>
      <c r="H531" s="156">
        <f t="shared" si="34"/>
        <v>3707.27</v>
      </c>
      <c r="I531" s="177">
        <v>3707.27</v>
      </c>
      <c r="J531" s="165">
        <f t="shared" si="35"/>
        <v>0</v>
      </c>
      <c r="K531" s="165">
        <f t="shared" si="36"/>
        <v>0</v>
      </c>
    </row>
    <row r="532" spans="1:11" ht="12.75" outlineLevel="1" x14ac:dyDescent="0.2">
      <c r="A532" s="150" t="s">
        <v>1196</v>
      </c>
      <c r="B532" s="108">
        <v>43313</v>
      </c>
      <c r="C532" s="107">
        <v>43586</v>
      </c>
      <c r="D532" s="188">
        <v>10</v>
      </c>
      <c r="E532" s="155">
        <v>3700</v>
      </c>
      <c r="F532" s="155"/>
      <c r="G532" s="123"/>
      <c r="H532" s="156">
        <f t="shared" si="34"/>
        <v>3700</v>
      </c>
      <c r="I532" s="177">
        <v>3700</v>
      </c>
      <c r="J532" s="165">
        <f t="shared" si="35"/>
        <v>0</v>
      </c>
      <c r="K532" s="165">
        <f t="shared" si="36"/>
        <v>0</v>
      </c>
    </row>
    <row r="533" spans="1:11" ht="12.75" outlineLevel="1" x14ac:dyDescent="0.2">
      <c r="A533" s="150" t="s">
        <v>798</v>
      </c>
      <c r="B533" s="108">
        <v>43221</v>
      </c>
      <c r="C533" s="107">
        <v>43497</v>
      </c>
      <c r="D533" s="188">
        <v>45</v>
      </c>
      <c r="E533" s="155"/>
      <c r="F533" s="155">
        <v>3608.96</v>
      </c>
      <c r="G533" s="123"/>
      <c r="H533" s="156">
        <f t="shared" si="34"/>
        <v>3608.96</v>
      </c>
      <c r="I533" s="177">
        <v>3608.96</v>
      </c>
      <c r="J533" s="165">
        <f t="shared" si="35"/>
        <v>0</v>
      </c>
      <c r="K533" s="165">
        <f t="shared" si="36"/>
        <v>0</v>
      </c>
    </row>
    <row r="534" spans="1:11" ht="24" outlineLevel="1" x14ac:dyDescent="0.2">
      <c r="A534" s="150" t="s">
        <v>1197</v>
      </c>
      <c r="B534" s="108">
        <v>43252</v>
      </c>
      <c r="C534" s="107">
        <v>43525</v>
      </c>
      <c r="D534" s="188">
        <v>10</v>
      </c>
      <c r="E534" s="155">
        <v>3400</v>
      </c>
      <c r="F534" s="155"/>
      <c r="G534" s="123"/>
      <c r="H534" s="156">
        <f t="shared" si="34"/>
        <v>3400</v>
      </c>
      <c r="I534" s="177">
        <v>3400</v>
      </c>
      <c r="J534" s="165">
        <f t="shared" si="35"/>
        <v>0</v>
      </c>
      <c r="K534" s="165">
        <f t="shared" si="36"/>
        <v>0</v>
      </c>
    </row>
    <row r="535" spans="1:11" ht="12.75" outlineLevel="1" x14ac:dyDescent="0.2">
      <c r="A535" s="150" t="s">
        <v>784</v>
      </c>
      <c r="B535" s="108">
        <v>43221</v>
      </c>
      <c r="C535" s="107">
        <v>43497</v>
      </c>
      <c r="D535" s="188">
        <v>45</v>
      </c>
      <c r="E535" s="155"/>
      <c r="F535" s="155">
        <v>3358.95</v>
      </c>
      <c r="G535" s="123"/>
      <c r="H535" s="156">
        <f t="shared" si="34"/>
        <v>3358.95</v>
      </c>
      <c r="I535" s="177">
        <v>3358.95</v>
      </c>
      <c r="J535" s="165">
        <f t="shared" si="35"/>
        <v>0</v>
      </c>
      <c r="K535" s="165">
        <f t="shared" si="36"/>
        <v>0</v>
      </c>
    </row>
    <row r="536" spans="1:11" ht="24" outlineLevel="1" x14ac:dyDescent="0.2">
      <c r="A536" s="150" t="s">
        <v>1198</v>
      </c>
      <c r="B536" s="108">
        <v>43313</v>
      </c>
      <c r="C536" s="107">
        <v>43586</v>
      </c>
      <c r="D536" s="188">
        <v>10</v>
      </c>
      <c r="E536" s="155">
        <v>3100</v>
      </c>
      <c r="F536" s="155"/>
      <c r="G536" s="123"/>
      <c r="H536" s="156">
        <f t="shared" si="34"/>
        <v>3100</v>
      </c>
      <c r="I536" s="177">
        <v>3100</v>
      </c>
      <c r="J536" s="165">
        <f t="shared" si="35"/>
        <v>0</v>
      </c>
      <c r="K536" s="165">
        <f t="shared" si="36"/>
        <v>0</v>
      </c>
    </row>
    <row r="537" spans="1:11" ht="12.75" outlineLevel="1" x14ac:dyDescent="0.2">
      <c r="A537" s="150" t="s">
        <v>1199</v>
      </c>
      <c r="B537" s="108">
        <v>43313</v>
      </c>
      <c r="C537" s="107">
        <v>43586</v>
      </c>
      <c r="D537" s="188">
        <v>10</v>
      </c>
      <c r="E537" s="155">
        <v>3100</v>
      </c>
      <c r="F537" s="155"/>
      <c r="G537" s="123"/>
      <c r="H537" s="156">
        <f t="shared" si="34"/>
        <v>3100</v>
      </c>
      <c r="I537" s="177">
        <v>3100</v>
      </c>
      <c r="J537" s="165">
        <f t="shared" si="35"/>
        <v>0</v>
      </c>
      <c r="K537" s="165">
        <f t="shared" si="36"/>
        <v>0</v>
      </c>
    </row>
    <row r="538" spans="1:11" ht="24" outlineLevel="1" x14ac:dyDescent="0.2">
      <c r="A538" s="150" t="s">
        <v>1200</v>
      </c>
      <c r="B538" s="108">
        <v>43313</v>
      </c>
      <c r="C538" s="107">
        <v>43586</v>
      </c>
      <c r="D538" s="188">
        <v>10</v>
      </c>
      <c r="E538" s="178">
        <v>3000</v>
      </c>
      <c r="F538" s="155"/>
      <c r="G538" s="123"/>
      <c r="H538" s="156">
        <f t="shared" si="34"/>
        <v>3000</v>
      </c>
      <c r="I538" s="177">
        <v>3000</v>
      </c>
      <c r="J538" s="165">
        <f t="shared" si="35"/>
        <v>0</v>
      </c>
      <c r="K538" s="165">
        <f t="shared" si="36"/>
        <v>0</v>
      </c>
    </row>
    <row r="539" spans="1:11" ht="12.75" outlineLevel="1" x14ac:dyDescent="0.2">
      <c r="A539" s="150" t="s">
        <v>1201</v>
      </c>
      <c r="B539" s="108">
        <v>43313</v>
      </c>
      <c r="C539" s="107">
        <v>43586</v>
      </c>
      <c r="D539" s="188">
        <v>10</v>
      </c>
      <c r="E539" s="178">
        <v>3000</v>
      </c>
      <c r="F539" s="155"/>
      <c r="G539" s="123"/>
      <c r="H539" s="156">
        <f t="shared" si="34"/>
        <v>3000</v>
      </c>
      <c r="I539" s="177">
        <v>3000</v>
      </c>
      <c r="J539" s="165">
        <f t="shared" si="35"/>
        <v>0</v>
      </c>
      <c r="K539" s="165">
        <f t="shared" si="36"/>
        <v>0</v>
      </c>
    </row>
    <row r="540" spans="1:11" ht="12.75" outlineLevel="1" x14ac:dyDescent="0.2">
      <c r="A540" s="150" t="s">
        <v>1202</v>
      </c>
      <c r="B540" s="108">
        <v>43313</v>
      </c>
      <c r="C540" s="107">
        <v>43586</v>
      </c>
      <c r="D540" s="188">
        <v>10</v>
      </c>
      <c r="E540" s="178">
        <v>2900</v>
      </c>
      <c r="F540" s="155"/>
      <c r="G540" s="123"/>
      <c r="H540" s="156">
        <f t="shared" si="34"/>
        <v>2900</v>
      </c>
      <c r="I540" s="177">
        <v>2900</v>
      </c>
      <c r="J540" s="165">
        <f t="shared" si="35"/>
        <v>0</v>
      </c>
      <c r="K540" s="165">
        <f t="shared" si="36"/>
        <v>0</v>
      </c>
    </row>
    <row r="541" spans="1:11" ht="12.75" outlineLevel="1" x14ac:dyDescent="0.2">
      <c r="A541" s="150" t="s">
        <v>1203</v>
      </c>
      <c r="B541" s="108">
        <v>43313</v>
      </c>
      <c r="C541" s="107">
        <v>43586</v>
      </c>
      <c r="D541" s="188">
        <v>10</v>
      </c>
      <c r="E541" s="178">
        <v>2700</v>
      </c>
      <c r="F541" s="155"/>
      <c r="G541" s="123"/>
      <c r="H541" s="156">
        <f t="shared" si="34"/>
        <v>2700</v>
      </c>
      <c r="I541" s="177">
        <v>2700</v>
      </c>
      <c r="J541" s="165">
        <f t="shared" si="35"/>
        <v>0</v>
      </c>
      <c r="K541" s="165">
        <f t="shared" si="36"/>
        <v>0</v>
      </c>
    </row>
    <row r="542" spans="1:11" ht="12.75" outlineLevel="1" x14ac:dyDescent="0.2">
      <c r="A542" s="150" t="s">
        <v>1204</v>
      </c>
      <c r="B542" s="108">
        <v>43313</v>
      </c>
      <c r="C542" s="107">
        <v>43586</v>
      </c>
      <c r="D542" s="188">
        <v>10</v>
      </c>
      <c r="E542" s="178">
        <v>2700</v>
      </c>
      <c r="F542" s="155"/>
      <c r="G542" s="123"/>
      <c r="H542" s="156">
        <f t="shared" si="34"/>
        <v>2700</v>
      </c>
      <c r="I542" s="177">
        <v>2700</v>
      </c>
      <c r="J542" s="165">
        <f t="shared" si="35"/>
        <v>0</v>
      </c>
      <c r="K542" s="165">
        <f t="shared" si="36"/>
        <v>0</v>
      </c>
    </row>
    <row r="543" spans="1:11" ht="24" outlineLevel="1" x14ac:dyDescent="0.2">
      <c r="A543" s="150" t="s">
        <v>334</v>
      </c>
      <c r="B543" s="108">
        <v>43132</v>
      </c>
      <c r="C543" s="107">
        <v>43405</v>
      </c>
      <c r="D543" s="188">
        <v>45</v>
      </c>
      <c r="E543" s="155"/>
      <c r="F543" s="155">
        <v>2507.1</v>
      </c>
      <c r="G543" s="123"/>
      <c r="H543" s="156">
        <f t="shared" si="34"/>
        <v>2507.1</v>
      </c>
      <c r="I543" s="177">
        <v>2507.1</v>
      </c>
      <c r="J543" s="165">
        <f t="shared" si="35"/>
        <v>0</v>
      </c>
      <c r="K543" s="165">
        <f t="shared" si="36"/>
        <v>0</v>
      </c>
    </row>
    <row r="544" spans="1:11" ht="12.75" outlineLevel="1" x14ac:dyDescent="0.2">
      <c r="A544" s="150" t="s">
        <v>805</v>
      </c>
      <c r="B544" s="108">
        <v>43252</v>
      </c>
      <c r="C544" s="107">
        <v>43525</v>
      </c>
      <c r="D544" s="188">
        <v>45</v>
      </c>
      <c r="E544" s="155"/>
      <c r="F544" s="155">
        <v>1257.0899999999999</v>
      </c>
      <c r="G544" s="123"/>
      <c r="H544" s="156">
        <f t="shared" si="34"/>
        <v>1257.0899999999999</v>
      </c>
      <c r="I544" s="177">
        <v>1257.0899999999999</v>
      </c>
      <c r="J544" s="165">
        <f t="shared" si="35"/>
        <v>0</v>
      </c>
      <c r="K544" s="165">
        <f t="shared" si="36"/>
        <v>0</v>
      </c>
    </row>
    <row r="545" spans="1:11" ht="12.75" outlineLevel="1" x14ac:dyDescent="0.2">
      <c r="A545" s="150" t="s">
        <v>795</v>
      </c>
      <c r="B545" s="108">
        <v>43252</v>
      </c>
      <c r="C545" s="107">
        <v>43525</v>
      </c>
      <c r="D545" s="188">
        <v>45</v>
      </c>
      <c r="E545" s="155"/>
      <c r="F545" s="155">
        <v>724.99</v>
      </c>
      <c r="G545" s="123"/>
      <c r="H545" s="156">
        <f t="shared" si="34"/>
        <v>724.99</v>
      </c>
      <c r="I545" s="179">
        <v>724.99</v>
      </c>
      <c r="J545" s="165">
        <f t="shared" si="35"/>
        <v>0</v>
      </c>
      <c r="K545" s="165">
        <f t="shared" si="36"/>
        <v>0</v>
      </c>
    </row>
    <row r="546" spans="1:11" ht="24" outlineLevel="1" x14ac:dyDescent="0.2">
      <c r="A546" s="150" t="s">
        <v>327</v>
      </c>
      <c r="B546" s="196">
        <v>43160</v>
      </c>
      <c r="C546" s="107">
        <v>43466</v>
      </c>
      <c r="D546" s="189">
        <v>45</v>
      </c>
      <c r="E546" s="166"/>
      <c r="F546" s="166">
        <v>626.01</v>
      </c>
      <c r="G546" s="166"/>
      <c r="H546" s="156">
        <f t="shared" si="34"/>
        <v>626.01</v>
      </c>
      <c r="I546" s="179">
        <v>626.01</v>
      </c>
      <c r="J546" s="165">
        <f t="shared" si="35"/>
        <v>0</v>
      </c>
      <c r="K546" s="165">
        <f t="shared" si="36"/>
        <v>0</v>
      </c>
    </row>
    <row r="547" spans="1:11" ht="24" outlineLevel="1" x14ac:dyDescent="0.2">
      <c r="A547" s="150" t="s">
        <v>336</v>
      </c>
      <c r="B547" s="196">
        <v>43101</v>
      </c>
      <c r="C547" s="107">
        <v>43466</v>
      </c>
      <c r="D547" s="189">
        <v>45</v>
      </c>
      <c r="E547" s="166"/>
      <c r="F547" s="166">
        <v>590.22</v>
      </c>
      <c r="G547" s="166"/>
      <c r="H547" s="156">
        <f t="shared" si="34"/>
        <v>590.22</v>
      </c>
      <c r="I547" s="179">
        <v>590.22</v>
      </c>
      <c r="J547" s="165">
        <f t="shared" si="35"/>
        <v>0</v>
      </c>
      <c r="K547" s="165">
        <f t="shared" si="36"/>
        <v>0</v>
      </c>
    </row>
    <row r="548" spans="1:11" ht="12.75" outlineLevel="1" x14ac:dyDescent="0.2">
      <c r="A548" s="150" t="s">
        <v>164</v>
      </c>
      <c r="B548" s="196">
        <v>42736</v>
      </c>
      <c r="C548" s="107">
        <v>43466</v>
      </c>
      <c r="D548" s="189">
        <v>45</v>
      </c>
      <c r="E548" s="166">
        <v>166648.63</v>
      </c>
      <c r="F548" s="166">
        <v>17685.919999999998</v>
      </c>
      <c r="G548" s="166"/>
      <c r="H548" s="156">
        <f t="shared" si="34"/>
        <v>184334.55</v>
      </c>
      <c r="I548" s="177">
        <v>184334.55</v>
      </c>
      <c r="J548" s="165">
        <f t="shared" si="35"/>
        <v>0</v>
      </c>
      <c r="K548" s="165">
        <f t="shared" si="36"/>
        <v>0</v>
      </c>
    </row>
    <row r="549" spans="1:11" ht="12.75" outlineLevel="1" x14ac:dyDescent="0.2">
      <c r="A549" s="150" t="s">
        <v>146</v>
      </c>
      <c r="B549" s="196">
        <v>42736</v>
      </c>
      <c r="C549" s="107">
        <v>43466</v>
      </c>
      <c r="D549" s="189">
        <v>45</v>
      </c>
      <c r="E549" s="166">
        <v>73239.520000000004</v>
      </c>
      <c r="F549" s="166">
        <v>11360</v>
      </c>
      <c r="G549" s="166"/>
      <c r="H549" s="156">
        <f t="shared" si="34"/>
        <v>84599.52</v>
      </c>
      <c r="I549" s="177">
        <v>84599.52</v>
      </c>
      <c r="J549" s="165">
        <f t="shared" si="35"/>
        <v>0</v>
      </c>
      <c r="K549" s="165">
        <f t="shared" si="36"/>
        <v>0</v>
      </c>
    </row>
    <row r="550" spans="1:11" ht="24" outlineLevel="1" x14ac:dyDescent="0.2">
      <c r="A550" s="150" t="s">
        <v>214</v>
      </c>
      <c r="B550" s="196">
        <v>43040</v>
      </c>
      <c r="C550" s="107">
        <v>43466</v>
      </c>
      <c r="D550" s="189">
        <v>10</v>
      </c>
      <c r="E550" s="166">
        <v>35000</v>
      </c>
      <c r="F550" s="166"/>
      <c r="G550" s="166"/>
      <c r="H550" s="156">
        <f t="shared" si="34"/>
        <v>35000</v>
      </c>
      <c r="I550" s="177">
        <v>35000</v>
      </c>
      <c r="J550" s="165">
        <f t="shared" si="35"/>
        <v>0</v>
      </c>
      <c r="K550" s="165">
        <f t="shared" si="36"/>
        <v>0</v>
      </c>
    </row>
    <row r="551" spans="1:11" ht="12.75" outlineLevel="1" x14ac:dyDescent="0.2">
      <c r="A551" s="150" t="s">
        <v>215</v>
      </c>
      <c r="B551" s="196">
        <v>43252</v>
      </c>
      <c r="C551" s="107">
        <v>43525</v>
      </c>
      <c r="D551" s="189">
        <v>45</v>
      </c>
      <c r="E551" s="166">
        <v>27799.99</v>
      </c>
      <c r="F551" s="166"/>
      <c r="G551" s="166"/>
      <c r="H551" s="156">
        <f t="shared" si="34"/>
        <v>27799.99</v>
      </c>
      <c r="I551" s="177">
        <v>27799.99</v>
      </c>
      <c r="J551" s="165">
        <f t="shared" si="35"/>
        <v>0</v>
      </c>
      <c r="K551" s="165">
        <f t="shared" si="36"/>
        <v>0</v>
      </c>
    </row>
    <row r="552" spans="1:11" ht="24" outlineLevel="1" x14ac:dyDescent="0.2">
      <c r="A552" s="150" t="s">
        <v>213</v>
      </c>
      <c r="B552" s="196">
        <v>43070</v>
      </c>
      <c r="C552" s="107">
        <v>43435</v>
      </c>
      <c r="D552" s="189">
        <v>10</v>
      </c>
      <c r="E552" s="166">
        <v>11300</v>
      </c>
      <c r="F552" s="166"/>
      <c r="G552" s="166"/>
      <c r="H552" s="156">
        <f t="shared" si="34"/>
        <v>11300</v>
      </c>
      <c r="I552" s="177">
        <v>11300</v>
      </c>
      <c r="J552" s="165">
        <f t="shared" si="35"/>
        <v>0</v>
      </c>
      <c r="K552" s="165">
        <f t="shared" si="36"/>
        <v>0</v>
      </c>
    </row>
    <row r="553" spans="1:11" ht="24" outlineLevel="1" x14ac:dyDescent="0.2">
      <c r="A553" s="150" t="s">
        <v>822</v>
      </c>
      <c r="B553" s="196">
        <v>43191</v>
      </c>
      <c r="C553" s="107">
        <v>43466</v>
      </c>
      <c r="D553" s="189">
        <v>10</v>
      </c>
      <c r="E553" s="166">
        <v>6000</v>
      </c>
      <c r="F553" s="166"/>
      <c r="G553" s="166"/>
      <c r="H553" s="156">
        <f t="shared" si="34"/>
        <v>6000</v>
      </c>
      <c r="I553" s="177">
        <v>6000</v>
      </c>
      <c r="J553" s="165">
        <f t="shared" si="35"/>
        <v>0</v>
      </c>
      <c r="K553" s="165">
        <f t="shared" si="36"/>
        <v>0</v>
      </c>
    </row>
    <row r="554" spans="1:11" x14ac:dyDescent="0.2">
      <c r="A554" s="19"/>
      <c r="B554" s="89"/>
      <c r="C554" s="89"/>
      <c r="D554" s="130"/>
      <c r="E554" s="58">
        <f>SUM(E391:E553)</f>
        <v>1129564.45</v>
      </c>
      <c r="F554" s="58">
        <f t="shared" ref="F554:G554" si="37">SUM(F391:F553)</f>
        <v>2364332.5900000008</v>
      </c>
      <c r="G554" s="58">
        <f t="shared" si="37"/>
        <v>0</v>
      </c>
      <c r="H554" s="48">
        <f>SUM(H391:H553)</f>
        <v>3493897.0400000005</v>
      </c>
      <c r="I554" s="48">
        <f>SUM(I391:I553)</f>
        <v>3493897.0400000005</v>
      </c>
      <c r="J554" s="47"/>
      <c r="K554" s="47"/>
    </row>
    <row r="555" spans="1:11" x14ac:dyDescent="0.2">
      <c r="A555" s="19"/>
      <c r="B555" s="89"/>
      <c r="C555" s="89"/>
      <c r="D555" s="130"/>
      <c r="E555" s="58"/>
      <c r="F555" s="58"/>
      <c r="G555" s="58"/>
      <c r="H555" s="48"/>
      <c r="I555" s="48"/>
      <c r="J555" s="47"/>
      <c r="K555" s="47"/>
    </row>
    <row r="556" spans="1:11" ht="24" x14ac:dyDescent="0.2">
      <c r="A556" s="23" t="s">
        <v>341</v>
      </c>
      <c r="B556" s="90"/>
      <c r="C556" s="89"/>
      <c r="D556" s="130"/>
      <c r="E556" s="14"/>
      <c r="F556" s="14"/>
      <c r="G556" s="14"/>
      <c r="H556" s="48"/>
      <c r="I556" s="43"/>
      <c r="J556" s="18"/>
      <c r="K556" s="29"/>
    </row>
    <row r="557" spans="1:11" ht="12.75" outlineLevel="1" x14ac:dyDescent="0.2">
      <c r="A557" s="49" t="s">
        <v>1250</v>
      </c>
      <c r="B557" s="108">
        <v>43343</v>
      </c>
      <c r="C557" s="107">
        <v>43555</v>
      </c>
      <c r="D557" s="188">
        <v>20</v>
      </c>
      <c r="E557" s="124">
        <v>6395</v>
      </c>
      <c r="F557" s="124"/>
      <c r="G557" s="123"/>
      <c r="H557" s="33">
        <f t="shared" ref="H557:H597" si="38">F557+E557</f>
        <v>6395</v>
      </c>
      <c r="I557" s="43">
        <v>6395</v>
      </c>
      <c r="J557" s="38">
        <f>H557-I557</f>
        <v>0</v>
      </c>
      <c r="K557" s="38">
        <f>H557-I557</f>
        <v>0</v>
      </c>
    </row>
    <row r="558" spans="1:11" ht="12.75" outlineLevel="1" x14ac:dyDescent="0.2">
      <c r="A558" s="49" t="s">
        <v>1251</v>
      </c>
      <c r="B558" s="108">
        <v>43343</v>
      </c>
      <c r="C558" s="107">
        <v>43555</v>
      </c>
      <c r="D558" s="188">
        <v>20</v>
      </c>
      <c r="E558" s="124">
        <v>10612</v>
      </c>
      <c r="F558" s="124"/>
      <c r="G558" s="123"/>
      <c r="H558" s="33">
        <f t="shared" si="38"/>
        <v>10612</v>
      </c>
      <c r="I558" s="43">
        <v>10612</v>
      </c>
      <c r="J558" s="38">
        <f t="shared" ref="J558:J597" si="39">H558-I558</f>
        <v>0</v>
      </c>
      <c r="K558" s="38">
        <f t="shared" ref="K558:K597" si="40">H558-I558</f>
        <v>0</v>
      </c>
    </row>
    <row r="559" spans="1:11" ht="12.75" outlineLevel="1" x14ac:dyDescent="0.2">
      <c r="A559" s="49" t="s">
        <v>967</v>
      </c>
      <c r="B559" s="108">
        <v>43259</v>
      </c>
      <c r="C559" s="107">
        <v>43465</v>
      </c>
      <c r="D559" s="188">
        <v>40</v>
      </c>
      <c r="E559" s="124">
        <v>6395</v>
      </c>
      <c r="F559" s="124"/>
      <c r="G559" s="123"/>
      <c r="H559" s="33">
        <f t="shared" si="38"/>
        <v>6395</v>
      </c>
      <c r="I559" s="43">
        <v>6395</v>
      </c>
      <c r="J559" s="38">
        <f t="shared" si="39"/>
        <v>0</v>
      </c>
      <c r="K559" s="38">
        <f t="shared" si="40"/>
        <v>0</v>
      </c>
    </row>
    <row r="560" spans="1:11" ht="12.75" outlineLevel="1" x14ac:dyDescent="0.2">
      <c r="A560" s="49" t="s">
        <v>1252</v>
      </c>
      <c r="B560" s="108">
        <v>43343</v>
      </c>
      <c r="C560" s="107">
        <v>43555</v>
      </c>
      <c r="D560" s="188">
        <v>20</v>
      </c>
      <c r="E560" s="124"/>
      <c r="F560" s="122">
        <v>5006</v>
      </c>
      <c r="G560" s="123"/>
      <c r="H560" s="33">
        <f t="shared" si="38"/>
        <v>5006</v>
      </c>
      <c r="I560" s="43">
        <v>5006</v>
      </c>
      <c r="J560" s="38">
        <f t="shared" si="39"/>
        <v>0</v>
      </c>
      <c r="K560" s="38">
        <f t="shared" si="40"/>
        <v>0</v>
      </c>
    </row>
    <row r="561" spans="1:11" ht="26.25" customHeight="1" outlineLevel="1" x14ac:dyDescent="0.2">
      <c r="A561" s="49" t="s">
        <v>276</v>
      </c>
      <c r="B561" s="108">
        <v>43321</v>
      </c>
      <c r="C561" s="107">
        <v>43555</v>
      </c>
      <c r="D561" s="188">
        <v>30</v>
      </c>
      <c r="E561" s="122">
        <v>68169.78</v>
      </c>
      <c r="F561" s="122">
        <v>676482.37</v>
      </c>
      <c r="G561" s="123"/>
      <c r="H561" s="33">
        <f t="shared" si="38"/>
        <v>744652.15</v>
      </c>
      <c r="I561" s="43">
        <v>744652.15</v>
      </c>
      <c r="J561" s="38">
        <f t="shared" si="39"/>
        <v>0</v>
      </c>
      <c r="K561" s="38">
        <f t="shared" si="40"/>
        <v>0</v>
      </c>
    </row>
    <row r="562" spans="1:11" ht="23.25" customHeight="1" outlineLevel="1" x14ac:dyDescent="0.2">
      <c r="A562" s="49" t="s">
        <v>342</v>
      </c>
      <c r="B562" s="108">
        <v>43190</v>
      </c>
      <c r="C562" s="107">
        <v>43465</v>
      </c>
      <c r="D562" s="188">
        <v>40</v>
      </c>
      <c r="E562" s="124"/>
      <c r="F562" s="122">
        <v>39443.69</v>
      </c>
      <c r="G562" s="123"/>
      <c r="H562" s="33">
        <f t="shared" si="38"/>
        <v>39443.69</v>
      </c>
      <c r="I562" s="43">
        <v>39443.69</v>
      </c>
      <c r="J562" s="38">
        <f t="shared" si="39"/>
        <v>0</v>
      </c>
      <c r="K562" s="38">
        <f t="shared" si="40"/>
        <v>0</v>
      </c>
    </row>
    <row r="563" spans="1:11" ht="12.75" outlineLevel="1" x14ac:dyDescent="0.2">
      <c r="A563" s="49" t="s">
        <v>968</v>
      </c>
      <c r="B563" s="108">
        <v>43281</v>
      </c>
      <c r="C563" s="107">
        <v>43465</v>
      </c>
      <c r="D563" s="188">
        <v>20</v>
      </c>
      <c r="E563" s="124"/>
      <c r="F563" s="122">
        <v>14234.27</v>
      </c>
      <c r="G563" s="123"/>
      <c r="H563" s="33">
        <f t="shared" si="38"/>
        <v>14234.27</v>
      </c>
      <c r="I563" s="43">
        <v>14234.27</v>
      </c>
      <c r="J563" s="38">
        <f t="shared" si="39"/>
        <v>0</v>
      </c>
      <c r="K563" s="38">
        <f t="shared" si="40"/>
        <v>0</v>
      </c>
    </row>
    <row r="564" spans="1:11" ht="12.75" outlineLevel="1" x14ac:dyDescent="0.2">
      <c r="A564" s="49" t="s">
        <v>343</v>
      </c>
      <c r="B564" s="108">
        <v>43190</v>
      </c>
      <c r="C564" s="107">
        <v>43465</v>
      </c>
      <c r="D564" s="188">
        <v>20</v>
      </c>
      <c r="E564" s="124"/>
      <c r="F564" s="122">
        <v>13056.26</v>
      </c>
      <c r="G564" s="123"/>
      <c r="H564" s="33">
        <f t="shared" si="38"/>
        <v>13056.26</v>
      </c>
      <c r="I564" s="43">
        <v>13056.26</v>
      </c>
      <c r="J564" s="38">
        <f t="shared" si="39"/>
        <v>0</v>
      </c>
      <c r="K564" s="38">
        <f t="shared" si="40"/>
        <v>0</v>
      </c>
    </row>
    <row r="565" spans="1:11" ht="12.75" outlineLevel="1" x14ac:dyDescent="0.2">
      <c r="A565" s="49" t="s">
        <v>1253</v>
      </c>
      <c r="B565" s="108">
        <v>43343</v>
      </c>
      <c r="C565" s="107">
        <v>43555</v>
      </c>
      <c r="D565" s="188">
        <v>20</v>
      </c>
      <c r="E565" s="123">
        <v>6395</v>
      </c>
      <c r="F565" s="124"/>
      <c r="G565" s="123"/>
      <c r="H565" s="33">
        <f t="shared" si="38"/>
        <v>6395</v>
      </c>
      <c r="I565" s="43">
        <v>6395</v>
      </c>
      <c r="J565" s="38">
        <f t="shared" si="39"/>
        <v>0</v>
      </c>
      <c r="K565" s="38">
        <f t="shared" si="40"/>
        <v>0</v>
      </c>
    </row>
    <row r="566" spans="1:11" ht="30" customHeight="1" outlineLevel="1" x14ac:dyDescent="0.2">
      <c r="A566" s="49" t="s">
        <v>1254</v>
      </c>
      <c r="B566" s="108">
        <v>43343</v>
      </c>
      <c r="C566" s="107">
        <v>43555</v>
      </c>
      <c r="D566" s="188">
        <v>20</v>
      </c>
      <c r="E566" s="123"/>
      <c r="F566" s="123">
        <v>4020</v>
      </c>
      <c r="G566" s="123"/>
      <c r="H566" s="33">
        <f t="shared" si="38"/>
        <v>4020</v>
      </c>
      <c r="I566" s="43">
        <v>4020</v>
      </c>
      <c r="J566" s="38">
        <f t="shared" si="39"/>
        <v>0</v>
      </c>
      <c r="K566" s="38">
        <f t="shared" si="40"/>
        <v>0</v>
      </c>
    </row>
    <row r="567" spans="1:11" ht="27.75" customHeight="1" outlineLevel="1" x14ac:dyDescent="0.2">
      <c r="A567" s="49" t="s">
        <v>1255</v>
      </c>
      <c r="B567" s="108">
        <v>43343</v>
      </c>
      <c r="C567" s="107">
        <v>43555</v>
      </c>
      <c r="D567" s="188">
        <v>20</v>
      </c>
      <c r="E567" s="123">
        <v>10612</v>
      </c>
      <c r="F567" s="123"/>
      <c r="G567" s="123"/>
      <c r="H567" s="33">
        <f t="shared" si="38"/>
        <v>10612</v>
      </c>
      <c r="I567" s="43">
        <v>10612</v>
      </c>
      <c r="J567" s="38">
        <f t="shared" si="39"/>
        <v>0</v>
      </c>
      <c r="K567" s="38">
        <f t="shared" si="40"/>
        <v>0</v>
      </c>
    </row>
    <row r="568" spans="1:11" ht="27.75" customHeight="1" outlineLevel="1" x14ac:dyDescent="0.2">
      <c r="A568" s="49" t="s">
        <v>1256</v>
      </c>
      <c r="B568" s="108">
        <v>43343</v>
      </c>
      <c r="C568" s="107">
        <v>43555</v>
      </c>
      <c r="D568" s="188">
        <v>20</v>
      </c>
      <c r="E568" s="122"/>
      <c r="F568" s="122">
        <v>18505.169999999998</v>
      </c>
      <c r="G568" s="123"/>
      <c r="H568" s="33">
        <f t="shared" si="38"/>
        <v>18505.169999999998</v>
      </c>
      <c r="I568" s="43">
        <v>18505.169999999998</v>
      </c>
      <c r="J568" s="38">
        <f t="shared" si="39"/>
        <v>0</v>
      </c>
      <c r="K568" s="38">
        <f t="shared" si="40"/>
        <v>0</v>
      </c>
    </row>
    <row r="569" spans="1:11" ht="27.75" customHeight="1" outlineLevel="1" x14ac:dyDescent="0.2">
      <c r="A569" s="49" t="s">
        <v>969</v>
      </c>
      <c r="B569" s="197">
        <v>43259</v>
      </c>
      <c r="C569" s="107">
        <v>43465</v>
      </c>
      <c r="D569" s="189">
        <v>70</v>
      </c>
      <c r="E569" s="123"/>
      <c r="F569" s="122">
        <v>4020</v>
      </c>
      <c r="G569" s="123"/>
      <c r="H569" s="33">
        <f t="shared" si="38"/>
        <v>4020</v>
      </c>
      <c r="I569" s="43">
        <v>4020</v>
      </c>
      <c r="J569" s="38">
        <f t="shared" si="39"/>
        <v>0</v>
      </c>
      <c r="K569" s="38">
        <f t="shared" si="40"/>
        <v>0</v>
      </c>
    </row>
    <row r="570" spans="1:11" ht="27.75" customHeight="1" outlineLevel="1" x14ac:dyDescent="0.2">
      <c r="A570" s="49" t="s">
        <v>1257</v>
      </c>
      <c r="B570" s="108">
        <v>43343</v>
      </c>
      <c r="C570" s="107">
        <v>43555</v>
      </c>
      <c r="D570" s="188">
        <v>20</v>
      </c>
      <c r="E570" s="123">
        <v>17524</v>
      </c>
      <c r="F570" s="123"/>
      <c r="G570" s="123"/>
      <c r="H570" s="33">
        <f t="shared" si="38"/>
        <v>17524</v>
      </c>
      <c r="I570" s="43">
        <v>17524</v>
      </c>
      <c r="J570" s="38">
        <f t="shared" si="39"/>
        <v>0</v>
      </c>
      <c r="K570" s="38">
        <f t="shared" si="40"/>
        <v>0</v>
      </c>
    </row>
    <row r="571" spans="1:11" ht="27.75" customHeight="1" outlineLevel="1" x14ac:dyDescent="0.2">
      <c r="A571" s="49" t="s">
        <v>1258</v>
      </c>
      <c r="B571" s="108">
        <v>43343</v>
      </c>
      <c r="C571" s="107">
        <v>43555</v>
      </c>
      <c r="D571" s="188">
        <v>20</v>
      </c>
      <c r="E571" s="123">
        <v>4879</v>
      </c>
      <c r="F571" s="123">
        <v>31126.43</v>
      </c>
      <c r="G571" s="123"/>
      <c r="H571" s="33">
        <f t="shared" si="38"/>
        <v>36005.43</v>
      </c>
      <c r="I571" s="43">
        <v>36005.43</v>
      </c>
      <c r="J571" s="38">
        <f t="shared" si="39"/>
        <v>0</v>
      </c>
      <c r="K571" s="38">
        <f t="shared" si="40"/>
        <v>0</v>
      </c>
    </row>
    <row r="572" spans="1:11" ht="27.75" customHeight="1" outlineLevel="1" x14ac:dyDescent="0.2">
      <c r="A572" s="49" t="s">
        <v>344</v>
      </c>
      <c r="B572" s="197">
        <v>43190</v>
      </c>
      <c r="C572" s="107">
        <v>43465</v>
      </c>
      <c r="D572" s="189">
        <v>60</v>
      </c>
      <c r="E572" s="122"/>
      <c r="F572" s="122">
        <v>17159.95</v>
      </c>
      <c r="G572" s="123"/>
      <c r="H572" s="33">
        <f t="shared" si="38"/>
        <v>17159.95</v>
      </c>
      <c r="I572" s="43">
        <v>17159.95</v>
      </c>
      <c r="J572" s="38">
        <f t="shared" si="39"/>
        <v>0</v>
      </c>
      <c r="K572" s="38">
        <f t="shared" si="40"/>
        <v>0</v>
      </c>
    </row>
    <row r="573" spans="1:11" ht="27.75" customHeight="1" outlineLevel="1" x14ac:dyDescent="0.2">
      <c r="A573" s="49" t="s">
        <v>1259</v>
      </c>
      <c r="B573" s="197">
        <v>43373</v>
      </c>
      <c r="C573" s="107">
        <v>43555</v>
      </c>
      <c r="D573" s="188">
        <v>20</v>
      </c>
      <c r="E573" s="123"/>
      <c r="F573" s="122">
        <v>22069.41</v>
      </c>
      <c r="G573" s="123"/>
      <c r="H573" s="33">
        <f t="shared" si="38"/>
        <v>22069.41</v>
      </c>
      <c r="I573" s="43">
        <v>22069.41</v>
      </c>
      <c r="J573" s="38">
        <f t="shared" si="39"/>
        <v>0</v>
      </c>
      <c r="K573" s="38">
        <f t="shared" si="40"/>
        <v>0</v>
      </c>
    </row>
    <row r="574" spans="1:11" ht="27.75" customHeight="1" outlineLevel="1" x14ac:dyDescent="0.2">
      <c r="A574" s="49" t="s">
        <v>277</v>
      </c>
      <c r="B574" s="197">
        <v>43190</v>
      </c>
      <c r="C574" s="107">
        <v>43465</v>
      </c>
      <c r="D574" s="189">
        <v>80</v>
      </c>
      <c r="E574" s="122">
        <v>216335.12</v>
      </c>
      <c r="F574" s="122">
        <v>19104.59</v>
      </c>
      <c r="G574" s="123"/>
      <c r="H574" s="33">
        <f t="shared" si="38"/>
        <v>235439.71</v>
      </c>
      <c r="I574" s="43">
        <v>235439.71</v>
      </c>
      <c r="J574" s="38">
        <f t="shared" si="39"/>
        <v>0</v>
      </c>
      <c r="K574" s="38">
        <f t="shared" si="40"/>
        <v>0</v>
      </c>
    </row>
    <row r="575" spans="1:11" ht="27.75" customHeight="1" outlineLevel="1" x14ac:dyDescent="0.2">
      <c r="A575" s="49" t="s">
        <v>278</v>
      </c>
      <c r="B575" s="197">
        <v>43190</v>
      </c>
      <c r="C575" s="107">
        <v>43465</v>
      </c>
      <c r="D575" s="189">
        <v>60</v>
      </c>
      <c r="E575" s="123"/>
      <c r="F575" s="122">
        <v>2778.93</v>
      </c>
      <c r="G575" s="123"/>
      <c r="H575" s="33">
        <f t="shared" si="38"/>
        <v>2778.93</v>
      </c>
      <c r="I575" s="43">
        <v>2778.93</v>
      </c>
      <c r="J575" s="38">
        <f t="shared" si="39"/>
        <v>0</v>
      </c>
      <c r="K575" s="38">
        <f t="shared" si="40"/>
        <v>0</v>
      </c>
    </row>
    <row r="576" spans="1:11" ht="27.75" customHeight="1" outlineLevel="1" x14ac:dyDescent="0.2">
      <c r="A576" s="49" t="s">
        <v>279</v>
      </c>
      <c r="B576" s="197">
        <v>43190</v>
      </c>
      <c r="C576" s="107">
        <v>43465</v>
      </c>
      <c r="D576" s="189">
        <v>70</v>
      </c>
      <c r="E576" s="123"/>
      <c r="F576" s="122">
        <v>27048.959999999999</v>
      </c>
      <c r="G576" s="123"/>
      <c r="H576" s="33">
        <f t="shared" si="38"/>
        <v>27048.959999999999</v>
      </c>
      <c r="I576" s="43">
        <v>27048.959999999999</v>
      </c>
      <c r="J576" s="38">
        <f t="shared" si="39"/>
        <v>0</v>
      </c>
      <c r="K576" s="38">
        <f t="shared" si="40"/>
        <v>0</v>
      </c>
    </row>
    <row r="577" spans="1:11" ht="27.75" customHeight="1" outlineLevel="1" x14ac:dyDescent="0.2">
      <c r="A577" s="49" t="s">
        <v>970</v>
      </c>
      <c r="B577" s="197">
        <v>43251</v>
      </c>
      <c r="C577" s="107">
        <v>43465</v>
      </c>
      <c r="D577" s="189">
        <v>60</v>
      </c>
      <c r="E577" s="123">
        <v>9649.5300000000007</v>
      </c>
      <c r="F577" s="122">
        <v>20806.88</v>
      </c>
      <c r="G577" s="123"/>
      <c r="H577" s="33">
        <f t="shared" si="38"/>
        <v>30456.410000000003</v>
      </c>
      <c r="I577" s="43">
        <v>30456.41</v>
      </c>
      <c r="J577" s="38">
        <f t="shared" si="39"/>
        <v>0</v>
      </c>
      <c r="K577" s="38">
        <f t="shared" si="40"/>
        <v>0</v>
      </c>
    </row>
    <row r="578" spans="1:11" ht="39" customHeight="1" outlineLevel="1" x14ac:dyDescent="0.2">
      <c r="A578" s="49" t="s">
        <v>971</v>
      </c>
      <c r="B578" s="197">
        <v>43259</v>
      </c>
      <c r="C578" s="107">
        <v>43465</v>
      </c>
      <c r="D578" s="189">
        <v>60</v>
      </c>
      <c r="E578" s="123"/>
      <c r="F578" s="122">
        <v>15610</v>
      </c>
      <c r="G578" s="123"/>
      <c r="H578" s="33">
        <f t="shared" si="38"/>
        <v>15610</v>
      </c>
      <c r="I578" s="43">
        <v>15610</v>
      </c>
      <c r="J578" s="38">
        <f t="shared" si="39"/>
        <v>0</v>
      </c>
      <c r="K578" s="38">
        <f t="shared" si="40"/>
        <v>0</v>
      </c>
    </row>
    <row r="579" spans="1:11" ht="39.75" customHeight="1" outlineLevel="1" x14ac:dyDescent="0.2">
      <c r="A579" s="49" t="s">
        <v>280</v>
      </c>
      <c r="B579" s="197">
        <v>43190</v>
      </c>
      <c r="C579" s="107">
        <v>43465</v>
      </c>
      <c r="D579" s="189">
        <v>60</v>
      </c>
      <c r="E579" s="123">
        <v>201689.89</v>
      </c>
      <c r="F579" s="122">
        <v>2216.66</v>
      </c>
      <c r="G579" s="123"/>
      <c r="H579" s="33">
        <f t="shared" si="38"/>
        <v>203906.55000000002</v>
      </c>
      <c r="I579" s="43">
        <v>203906.55</v>
      </c>
      <c r="J579" s="38">
        <f t="shared" si="39"/>
        <v>0</v>
      </c>
      <c r="K579" s="38">
        <f t="shared" si="40"/>
        <v>0</v>
      </c>
    </row>
    <row r="580" spans="1:11" ht="27.75" customHeight="1" outlineLevel="1" x14ac:dyDescent="0.2">
      <c r="A580" s="49" t="s">
        <v>972</v>
      </c>
      <c r="B580" s="197">
        <v>43259</v>
      </c>
      <c r="C580" s="107">
        <v>43555</v>
      </c>
      <c r="D580" s="189">
        <v>40</v>
      </c>
      <c r="E580" s="123"/>
      <c r="F580" s="122">
        <v>439894.89</v>
      </c>
      <c r="G580" s="123"/>
      <c r="H580" s="33">
        <f t="shared" si="38"/>
        <v>439894.89</v>
      </c>
      <c r="I580" s="43">
        <v>439894.89</v>
      </c>
      <c r="J580" s="38">
        <f t="shared" si="39"/>
        <v>0</v>
      </c>
      <c r="K580" s="38">
        <f t="shared" si="40"/>
        <v>0</v>
      </c>
    </row>
    <row r="581" spans="1:11" ht="27.75" customHeight="1" outlineLevel="1" x14ac:dyDescent="0.2">
      <c r="A581" s="49" t="s">
        <v>281</v>
      </c>
      <c r="B581" s="197">
        <v>43190</v>
      </c>
      <c r="C581" s="107">
        <v>43465</v>
      </c>
      <c r="D581" s="189">
        <v>60</v>
      </c>
      <c r="E581" s="123"/>
      <c r="F581" s="122">
        <v>23529.48</v>
      </c>
      <c r="G581" s="123"/>
      <c r="H581" s="33">
        <f t="shared" si="38"/>
        <v>23529.48</v>
      </c>
      <c r="I581" s="43">
        <v>23529.48</v>
      </c>
      <c r="J581" s="38">
        <f t="shared" si="39"/>
        <v>0</v>
      </c>
      <c r="K581" s="38">
        <f t="shared" si="40"/>
        <v>0</v>
      </c>
    </row>
    <row r="582" spans="1:11" ht="27.75" customHeight="1" outlineLevel="1" x14ac:dyDescent="0.2">
      <c r="A582" s="49" t="s">
        <v>282</v>
      </c>
      <c r="B582" s="197">
        <v>43190</v>
      </c>
      <c r="C582" s="107">
        <v>43465</v>
      </c>
      <c r="D582" s="189">
        <v>60</v>
      </c>
      <c r="E582" s="123"/>
      <c r="F582" s="122">
        <v>60548.01</v>
      </c>
      <c r="G582" s="123"/>
      <c r="H582" s="33">
        <f t="shared" si="38"/>
        <v>60548.01</v>
      </c>
      <c r="I582" s="43">
        <v>60548.01</v>
      </c>
      <c r="J582" s="38">
        <f t="shared" si="39"/>
        <v>0</v>
      </c>
      <c r="K582" s="38">
        <f t="shared" si="40"/>
        <v>0</v>
      </c>
    </row>
    <row r="583" spans="1:11" ht="27.75" customHeight="1" outlineLevel="1" x14ac:dyDescent="0.2">
      <c r="A583" s="49" t="s">
        <v>283</v>
      </c>
      <c r="B583" s="197">
        <v>43190</v>
      </c>
      <c r="C583" s="107">
        <v>43465</v>
      </c>
      <c r="D583" s="189">
        <v>60</v>
      </c>
      <c r="E583" s="122"/>
      <c r="F583" s="122">
        <v>11534.01</v>
      </c>
      <c r="G583" s="123"/>
      <c r="H583" s="33">
        <f t="shared" si="38"/>
        <v>11534.01</v>
      </c>
      <c r="I583" s="43">
        <v>11534.01</v>
      </c>
      <c r="J583" s="38">
        <f t="shared" si="39"/>
        <v>0</v>
      </c>
      <c r="K583" s="38">
        <f t="shared" si="40"/>
        <v>0</v>
      </c>
    </row>
    <row r="584" spans="1:11" ht="27.75" customHeight="1" outlineLevel="1" x14ac:dyDescent="0.2">
      <c r="A584" s="49" t="s">
        <v>284</v>
      </c>
      <c r="B584" s="197">
        <v>43190</v>
      </c>
      <c r="C584" s="107">
        <v>43465</v>
      </c>
      <c r="D584" s="189">
        <v>60</v>
      </c>
      <c r="E584" s="123">
        <v>6525</v>
      </c>
      <c r="F584" s="122">
        <v>13866.88</v>
      </c>
      <c r="G584" s="123"/>
      <c r="H584" s="33">
        <f t="shared" si="38"/>
        <v>20391.879999999997</v>
      </c>
      <c r="I584" s="43">
        <v>20391.88</v>
      </c>
      <c r="J584" s="38">
        <f t="shared" si="39"/>
        <v>0</v>
      </c>
      <c r="K584" s="38">
        <f t="shared" si="40"/>
        <v>0</v>
      </c>
    </row>
    <row r="585" spans="1:11" ht="31.5" customHeight="1" outlineLevel="1" x14ac:dyDescent="0.2">
      <c r="A585" s="49" t="s">
        <v>285</v>
      </c>
      <c r="B585" s="197">
        <v>43190</v>
      </c>
      <c r="C585" s="107">
        <v>43465</v>
      </c>
      <c r="D585" s="189">
        <v>60</v>
      </c>
      <c r="E585" s="123"/>
      <c r="F585" s="122">
        <v>25509.22</v>
      </c>
      <c r="G585" s="123"/>
      <c r="H585" s="33">
        <f t="shared" si="38"/>
        <v>25509.22</v>
      </c>
      <c r="I585" s="43">
        <v>25509.22</v>
      </c>
      <c r="J585" s="38">
        <f t="shared" si="39"/>
        <v>0</v>
      </c>
      <c r="K585" s="38">
        <f t="shared" si="40"/>
        <v>0</v>
      </c>
    </row>
    <row r="586" spans="1:11" ht="12.75" outlineLevel="1" x14ac:dyDescent="0.2">
      <c r="A586" s="49" t="s">
        <v>345</v>
      </c>
      <c r="B586" s="197">
        <v>43190</v>
      </c>
      <c r="C586" s="107">
        <v>43465</v>
      </c>
      <c r="D586" s="189">
        <v>60</v>
      </c>
      <c r="E586" s="122">
        <v>20494</v>
      </c>
      <c r="F586" s="122">
        <v>141727.28</v>
      </c>
      <c r="G586" s="123"/>
      <c r="H586" s="33">
        <f t="shared" si="38"/>
        <v>162221.28</v>
      </c>
      <c r="I586" s="43">
        <v>162221.28</v>
      </c>
      <c r="J586" s="38">
        <f t="shared" si="39"/>
        <v>0</v>
      </c>
      <c r="K586" s="38">
        <f t="shared" si="40"/>
        <v>0</v>
      </c>
    </row>
    <row r="587" spans="1:11" ht="36.75" customHeight="1" outlineLevel="1" x14ac:dyDescent="0.2">
      <c r="A587" s="49" t="s">
        <v>286</v>
      </c>
      <c r="B587" s="197">
        <v>43190</v>
      </c>
      <c r="C587" s="107">
        <v>43465</v>
      </c>
      <c r="D587" s="189">
        <v>80</v>
      </c>
      <c r="E587" s="123"/>
      <c r="F587" s="122">
        <v>57124.31</v>
      </c>
      <c r="G587" s="123"/>
      <c r="H587" s="33">
        <f t="shared" si="38"/>
        <v>57124.31</v>
      </c>
      <c r="I587" s="43">
        <v>57124.31</v>
      </c>
      <c r="J587" s="38">
        <f t="shared" si="39"/>
        <v>0</v>
      </c>
      <c r="K587" s="38">
        <f t="shared" si="40"/>
        <v>0</v>
      </c>
    </row>
    <row r="588" spans="1:11" ht="36.75" customHeight="1" outlineLevel="1" x14ac:dyDescent="0.2">
      <c r="A588" s="49" t="s">
        <v>346</v>
      </c>
      <c r="B588" s="197">
        <v>43190</v>
      </c>
      <c r="C588" s="107">
        <v>43465</v>
      </c>
      <c r="D588" s="189">
        <v>60</v>
      </c>
      <c r="E588" s="123"/>
      <c r="F588" s="122">
        <v>11233</v>
      </c>
      <c r="G588" s="123"/>
      <c r="H588" s="33">
        <f t="shared" si="38"/>
        <v>11233</v>
      </c>
      <c r="I588" s="43">
        <v>11233</v>
      </c>
      <c r="J588" s="38">
        <f t="shared" si="39"/>
        <v>0</v>
      </c>
      <c r="K588" s="38">
        <f t="shared" si="40"/>
        <v>0</v>
      </c>
    </row>
    <row r="589" spans="1:11" ht="36.75" customHeight="1" outlineLevel="1" x14ac:dyDescent="0.2">
      <c r="A589" s="49" t="s">
        <v>1260</v>
      </c>
      <c r="B589" s="108">
        <v>43343</v>
      </c>
      <c r="C589" s="107">
        <v>43555</v>
      </c>
      <c r="D589" s="188">
        <v>20</v>
      </c>
      <c r="E589" s="123"/>
      <c r="F589" s="122">
        <v>13642.47</v>
      </c>
      <c r="G589" s="123"/>
      <c r="H589" s="33">
        <f t="shared" si="38"/>
        <v>13642.47</v>
      </c>
      <c r="I589" s="43">
        <v>13642.47</v>
      </c>
      <c r="J589" s="38">
        <f t="shared" si="39"/>
        <v>0</v>
      </c>
      <c r="K589" s="38">
        <f t="shared" si="40"/>
        <v>0</v>
      </c>
    </row>
    <row r="590" spans="1:11" ht="36.75" customHeight="1" outlineLevel="1" x14ac:dyDescent="0.2">
      <c r="A590" s="49" t="s">
        <v>347</v>
      </c>
      <c r="B590" s="197">
        <v>43190</v>
      </c>
      <c r="C590" s="107">
        <v>43465</v>
      </c>
      <c r="D590" s="189">
        <v>60</v>
      </c>
      <c r="E590" s="123">
        <v>161016.95000000001</v>
      </c>
      <c r="F590" s="122">
        <v>70331</v>
      </c>
      <c r="G590" s="123"/>
      <c r="H590" s="33">
        <f t="shared" si="38"/>
        <v>231347.95</v>
      </c>
      <c r="I590" s="43">
        <v>231347.95</v>
      </c>
      <c r="J590" s="38">
        <f t="shared" si="39"/>
        <v>0</v>
      </c>
      <c r="K590" s="38">
        <f t="shared" si="40"/>
        <v>0</v>
      </c>
    </row>
    <row r="591" spans="1:11" ht="36.75" customHeight="1" outlineLevel="1" x14ac:dyDescent="0.2">
      <c r="A591" s="49" t="s">
        <v>348</v>
      </c>
      <c r="B591" s="197">
        <v>43097</v>
      </c>
      <c r="C591" s="107">
        <v>43465</v>
      </c>
      <c r="D591" s="189">
        <v>40</v>
      </c>
      <c r="E591" s="123"/>
      <c r="F591" s="122">
        <v>21146</v>
      </c>
      <c r="G591" s="123"/>
      <c r="H591" s="33">
        <f t="shared" si="38"/>
        <v>21146</v>
      </c>
      <c r="I591" s="43">
        <v>21146</v>
      </c>
      <c r="J591" s="38">
        <f t="shared" si="39"/>
        <v>0</v>
      </c>
      <c r="K591" s="38">
        <f t="shared" si="40"/>
        <v>0</v>
      </c>
    </row>
    <row r="592" spans="1:11" ht="36.75" customHeight="1" outlineLevel="1" x14ac:dyDescent="0.2">
      <c r="A592" s="49" t="s">
        <v>349</v>
      </c>
      <c r="B592" s="197">
        <v>43190</v>
      </c>
      <c r="C592" s="107">
        <v>43465</v>
      </c>
      <c r="D592" s="189">
        <v>60</v>
      </c>
      <c r="E592" s="123"/>
      <c r="F592" s="123">
        <v>5200.59</v>
      </c>
      <c r="G592" s="123"/>
      <c r="H592" s="33">
        <f t="shared" si="38"/>
        <v>5200.59</v>
      </c>
      <c r="I592" s="43">
        <v>5200.59</v>
      </c>
      <c r="J592" s="38">
        <f t="shared" si="39"/>
        <v>0</v>
      </c>
      <c r="K592" s="38">
        <f t="shared" si="40"/>
        <v>0</v>
      </c>
    </row>
    <row r="593" spans="1:11" ht="36.75" customHeight="1" outlineLevel="1" x14ac:dyDescent="0.2">
      <c r="A593" s="49" t="s">
        <v>1261</v>
      </c>
      <c r="B593" s="197">
        <v>43373</v>
      </c>
      <c r="C593" s="197">
        <v>43281</v>
      </c>
      <c r="D593" s="189">
        <v>20</v>
      </c>
      <c r="E593" s="123"/>
      <c r="F593" s="123">
        <v>825731.01</v>
      </c>
      <c r="G593" s="123"/>
      <c r="H593" s="33">
        <f t="shared" si="38"/>
        <v>825731.01</v>
      </c>
      <c r="I593" s="43">
        <v>825731.01</v>
      </c>
      <c r="J593" s="38">
        <f t="shared" si="39"/>
        <v>0</v>
      </c>
      <c r="K593" s="38">
        <f t="shared" si="40"/>
        <v>0</v>
      </c>
    </row>
    <row r="594" spans="1:11" ht="36.75" customHeight="1" outlineLevel="1" x14ac:dyDescent="0.2">
      <c r="A594" s="49" t="s">
        <v>1262</v>
      </c>
      <c r="B594" s="197">
        <v>43190</v>
      </c>
      <c r="C594" s="107">
        <v>43465</v>
      </c>
      <c r="D594" s="189">
        <v>80</v>
      </c>
      <c r="E594" s="123"/>
      <c r="F594" s="123">
        <v>3165.73</v>
      </c>
      <c r="G594" s="123"/>
      <c r="H594" s="33">
        <f t="shared" si="38"/>
        <v>3165.73</v>
      </c>
      <c r="I594" s="43">
        <v>3165.73</v>
      </c>
      <c r="J594" s="38">
        <f t="shared" si="39"/>
        <v>0</v>
      </c>
      <c r="K594" s="38">
        <f t="shared" si="40"/>
        <v>0</v>
      </c>
    </row>
    <row r="595" spans="1:11" ht="36.75" customHeight="1" outlineLevel="1" x14ac:dyDescent="0.2">
      <c r="A595" s="49" t="s">
        <v>287</v>
      </c>
      <c r="B595" s="197">
        <v>43190</v>
      </c>
      <c r="C595" s="107">
        <v>43465</v>
      </c>
      <c r="D595" s="189">
        <v>60</v>
      </c>
      <c r="E595" s="123"/>
      <c r="F595" s="123">
        <v>7993.99</v>
      </c>
      <c r="G595" s="123"/>
      <c r="H595" s="33">
        <f t="shared" si="38"/>
        <v>7993.99</v>
      </c>
      <c r="I595" s="43">
        <v>7993.99</v>
      </c>
      <c r="J595" s="38">
        <f t="shared" si="39"/>
        <v>0</v>
      </c>
      <c r="K595" s="38">
        <f t="shared" si="40"/>
        <v>0</v>
      </c>
    </row>
    <row r="596" spans="1:11" ht="36.75" customHeight="1" outlineLevel="1" x14ac:dyDescent="0.2">
      <c r="A596" s="49" t="s">
        <v>288</v>
      </c>
      <c r="B596" s="197">
        <v>43190</v>
      </c>
      <c r="C596" s="107">
        <v>43465</v>
      </c>
      <c r="D596" s="189">
        <v>60</v>
      </c>
      <c r="E596" s="123"/>
      <c r="F596" s="123">
        <v>16045.4</v>
      </c>
      <c r="G596" s="123"/>
      <c r="H596" s="33">
        <f t="shared" si="38"/>
        <v>16045.4</v>
      </c>
      <c r="I596" s="43">
        <v>16045.4</v>
      </c>
      <c r="J596" s="38">
        <f t="shared" si="39"/>
        <v>0</v>
      </c>
      <c r="K596" s="38">
        <f t="shared" si="40"/>
        <v>0</v>
      </c>
    </row>
    <row r="597" spans="1:11" ht="24" outlineLevel="1" x14ac:dyDescent="0.2">
      <c r="A597" s="49" t="s">
        <v>1263</v>
      </c>
      <c r="B597" s="197">
        <v>43343</v>
      </c>
      <c r="C597" s="197">
        <v>43554</v>
      </c>
      <c r="D597" s="189">
        <v>20</v>
      </c>
      <c r="E597" s="123">
        <v>14324</v>
      </c>
      <c r="F597" s="123"/>
      <c r="G597" s="123"/>
      <c r="H597" s="33">
        <f t="shared" si="38"/>
        <v>14324</v>
      </c>
      <c r="I597" s="43">
        <v>14324</v>
      </c>
      <c r="J597" s="38">
        <f t="shared" si="39"/>
        <v>0</v>
      </c>
      <c r="K597" s="38">
        <f t="shared" si="40"/>
        <v>0</v>
      </c>
    </row>
    <row r="598" spans="1:11" ht="12.75" outlineLevel="1" x14ac:dyDescent="0.2">
      <c r="A598" s="109"/>
      <c r="B598" s="197"/>
      <c r="C598" s="107"/>
      <c r="D598" s="189"/>
      <c r="E598" s="98"/>
      <c r="F598" s="125"/>
      <c r="G598" s="125"/>
      <c r="H598" s="33"/>
      <c r="I598" s="33"/>
      <c r="J598" s="38"/>
      <c r="K598" s="38"/>
    </row>
    <row r="599" spans="1:11" x14ac:dyDescent="0.2">
      <c r="A599" s="103"/>
      <c r="B599" s="96"/>
      <c r="C599" s="96"/>
      <c r="D599" s="190"/>
      <c r="E599" s="104">
        <f>SUM(E556:E598)</f>
        <v>761016.27</v>
      </c>
      <c r="F599" s="104">
        <f>SUM(F556:F598)</f>
        <v>2680912.8400000003</v>
      </c>
      <c r="G599" s="104">
        <f>SUM(G556:G598)</f>
        <v>0</v>
      </c>
      <c r="H599" s="104">
        <f>SUM(H556:H598)</f>
        <v>3441929.1100000003</v>
      </c>
      <c r="I599" s="104">
        <f>SUM(I556:I598)</f>
        <v>3441929.1100000003</v>
      </c>
      <c r="J599" s="71"/>
      <c r="K599" s="115"/>
    </row>
    <row r="600" spans="1:11" x14ac:dyDescent="0.2">
      <c r="A600" s="49"/>
      <c r="B600" s="97"/>
      <c r="C600" s="96"/>
      <c r="D600" s="190"/>
      <c r="E600" s="100"/>
      <c r="F600" s="100"/>
      <c r="G600" s="100"/>
      <c r="H600" s="104"/>
      <c r="I600" s="102"/>
      <c r="J600" s="80"/>
      <c r="K600" s="29"/>
    </row>
    <row r="601" spans="1:11" ht="24" x14ac:dyDescent="0.2">
      <c r="A601" s="40" t="s">
        <v>350</v>
      </c>
      <c r="B601" s="96"/>
      <c r="C601" s="97"/>
      <c r="D601" s="141"/>
      <c r="E601" s="99"/>
      <c r="F601" s="99"/>
      <c r="G601" s="100"/>
      <c r="H601" s="101"/>
      <c r="I601" s="102"/>
      <c r="J601" s="14"/>
      <c r="K601" s="39"/>
    </row>
    <row r="602" spans="1:11" outlineLevel="1" x14ac:dyDescent="0.2">
      <c r="A602" s="135" t="s">
        <v>1205</v>
      </c>
      <c r="B602" s="108">
        <v>43160</v>
      </c>
      <c r="C602" s="107">
        <v>43404</v>
      </c>
      <c r="D602" s="158">
        <v>10</v>
      </c>
      <c r="E602" s="124">
        <v>20570</v>
      </c>
      <c r="F602" s="124"/>
      <c r="G602" s="123"/>
      <c r="H602" s="33">
        <v>20570</v>
      </c>
      <c r="I602" s="43">
        <v>20570</v>
      </c>
      <c r="J602" s="38"/>
      <c r="K602" s="38"/>
    </row>
    <row r="603" spans="1:11" ht="24" outlineLevel="1" x14ac:dyDescent="0.2">
      <c r="A603" s="167" t="s">
        <v>1206</v>
      </c>
      <c r="B603" s="108">
        <v>43132</v>
      </c>
      <c r="C603" s="108">
        <v>43465</v>
      </c>
      <c r="D603" s="159">
        <v>10</v>
      </c>
      <c r="E603" s="123">
        <v>8521</v>
      </c>
      <c r="F603" s="123"/>
      <c r="G603" s="123"/>
      <c r="H603" s="48">
        <v>8521</v>
      </c>
      <c r="I603" s="48">
        <v>8521</v>
      </c>
      <c r="J603" s="38"/>
      <c r="K603" s="38"/>
    </row>
    <row r="604" spans="1:11" outlineLevel="1" x14ac:dyDescent="0.2">
      <c r="A604" s="168" t="s">
        <v>1207</v>
      </c>
      <c r="B604" s="108">
        <v>43132</v>
      </c>
      <c r="C604" s="108">
        <v>43404</v>
      </c>
      <c r="D604" s="159">
        <v>10</v>
      </c>
      <c r="E604" s="123">
        <v>8352</v>
      </c>
      <c r="F604" s="123"/>
      <c r="G604" s="123"/>
      <c r="H604" s="48">
        <v>8352</v>
      </c>
      <c r="I604" s="48">
        <v>8352</v>
      </c>
      <c r="J604" s="38"/>
      <c r="K604" s="38"/>
    </row>
    <row r="605" spans="1:11" outlineLevel="1" x14ac:dyDescent="0.2">
      <c r="A605" s="168" t="s">
        <v>1208</v>
      </c>
      <c r="B605" s="108">
        <v>43132</v>
      </c>
      <c r="C605" s="108">
        <v>43434</v>
      </c>
      <c r="D605" s="159">
        <v>10</v>
      </c>
      <c r="E605" s="123">
        <v>10284</v>
      </c>
      <c r="F605" s="123"/>
      <c r="G605" s="123"/>
      <c r="H605" s="48">
        <v>10284</v>
      </c>
      <c r="I605" s="48">
        <v>10284</v>
      </c>
      <c r="J605" s="38"/>
      <c r="K605" s="38"/>
    </row>
    <row r="606" spans="1:11" ht="24" outlineLevel="1" x14ac:dyDescent="0.2">
      <c r="A606" s="167" t="s">
        <v>351</v>
      </c>
      <c r="B606" s="108">
        <v>43132</v>
      </c>
      <c r="C606" s="108">
        <v>43434</v>
      </c>
      <c r="D606" s="159">
        <v>30</v>
      </c>
      <c r="E606" s="123">
        <v>12635</v>
      </c>
      <c r="F606" s="123">
        <v>22000</v>
      </c>
      <c r="G606" s="123"/>
      <c r="H606" s="48">
        <v>34635</v>
      </c>
      <c r="I606" s="48">
        <v>34635</v>
      </c>
      <c r="J606" s="38"/>
      <c r="K606" s="38"/>
    </row>
    <row r="607" spans="1:11" x14ac:dyDescent="0.2">
      <c r="A607" s="103"/>
      <c r="B607" s="108"/>
      <c r="C607" s="108"/>
      <c r="D607" s="159"/>
      <c r="E607" s="48">
        <f>SUM(E600:E606)</f>
        <v>60362</v>
      </c>
      <c r="F607" s="48">
        <f>SUM(F600:F606)</f>
        <v>22000</v>
      </c>
      <c r="G607" s="48">
        <f>SUM(G600:G606)</f>
        <v>0</v>
      </c>
      <c r="H607" s="33">
        <f t="shared" ref="H607" si="41">E607+F607+G607</f>
        <v>82362</v>
      </c>
      <c r="I607" s="43">
        <f t="shared" ref="I607" si="42">H607</f>
        <v>82362</v>
      </c>
      <c r="J607" s="71"/>
      <c r="K607" s="115"/>
    </row>
    <row r="608" spans="1:11" x14ac:dyDescent="0.2">
      <c r="A608" s="21"/>
      <c r="B608" s="90"/>
      <c r="C608" s="89"/>
      <c r="D608" s="130"/>
      <c r="E608" s="14"/>
      <c r="F608" s="14"/>
      <c r="G608" s="14"/>
      <c r="H608" s="48"/>
      <c r="I608" s="43"/>
      <c r="J608" s="80"/>
      <c r="K608" s="29"/>
    </row>
    <row r="609" spans="1:11" ht="26.25" customHeight="1" x14ac:dyDescent="0.2">
      <c r="A609" s="40" t="s">
        <v>352</v>
      </c>
      <c r="B609" s="89"/>
      <c r="C609" s="90"/>
      <c r="D609" s="187"/>
      <c r="E609" s="61"/>
      <c r="F609" s="61"/>
      <c r="G609" s="14"/>
      <c r="H609" s="33"/>
      <c r="I609" s="43"/>
      <c r="J609" s="14"/>
      <c r="K609" s="39"/>
    </row>
    <row r="610" spans="1:11" ht="24" outlineLevel="1" x14ac:dyDescent="0.2">
      <c r="A610" s="135" t="s">
        <v>823</v>
      </c>
      <c r="B610" s="96">
        <v>43251</v>
      </c>
      <c r="C610" s="97">
        <v>43456</v>
      </c>
      <c r="D610" s="141">
        <v>17</v>
      </c>
      <c r="E610" s="99">
        <v>5000</v>
      </c>
      <c r="F610" s="99"/>
      <c r="G610" s="100"/>
      <c r="H610" s="101">
        <v>5000</v>
      </c>
      <c r="I610" s="102">
        <v>5000</v>
      </c>
      <c r="J610" s="105"/>
      <c r="K610" s="105"/>
    </row>
    <row r="611" spans="1:11" ht="24" outlineLevel="1" x14ac:dyDescent="0.2">
      <c r="A611" s="135" t="s">
        <v>824</v>
      </c>
      <c r="B611" s="96">
        <v>43189</v>
      </c>
      <c r="C611" s="97">
        <v>43461</v>
      </c>
      <c r="D611" s="141">
        <v>17</v>
      </c>
      <c r="E611" s="99">
        <v>5000</v>
      </c>
      <c r="F611" s="99"/>
      <c r="G611" s="100"/>
      <c r="H611" s="101">
        <v>5000</v>
      </c>
      <c r="I611" s="102">
        <v>5000</v>
      </c>
      <c r="J611" s="105"/>
      <c r="K611" s="105"/>
    </row>
    <row r="612" spans="1:11" ht="24" outlineLevel="1" x14ac:dyDescent="0.2">
      <c r="A612" s="134" t="s">
        <v>825</v>
      </c>
      <c r="B612" s="96">
        <v>43258</v>
      </c>
      <c r="C612" s="96">
        <v>43540</v>
      </c>
      <c r="D612" s="190">
        <v>24</v>
      </c>
      <c r="E612" s="100">
        <v>7000</v>
      </c>
      <c r="F612" s="100"/>
      <c r="G612" s="100"/>
      <c r="H612" s="104">
        <v>7000</v>
      </c>
      <c r="I612" s="104">
        <v>7000</v>
      </c>
      <c r="J612" s="105"/>
      <c r="K612" s="105"/>
    </row>
    <row r="613" spans="1:11" ht="24" outlineLevel="1" x14ac:dyDescent="0.2">
      <c r="A613" s="134" t="s">
        <v>826</v>
      </c>
      <c r="B613" s="96">
        <v>43258</v>
      </c>
      <c r="C613" s="96">
        <v>43490</v>
      </c>
      <c r="D613" s="190">
        <v>24</v>
      </c>
      <c r="E613" s="100">
        <v>7000</v>
      </c>
      <c r="F613" s="100"/>
      <c r="G613" s="100"/>
      <c r="H613" s="104">
        <v>7000</v>
      </c>
      <c r="I613" s="104">
        <v>7000</v>
      </c>
      <c r="J613" s="105"/>
      <c r="K613" s="105"/>
    </row>
    <row r="614" spans="1:11" outlineLevel="1" x14ac:dyDescent="0.2">
      <c r="A614" s="134" t="s">
        <v>827</v>
      </c>
      <c r="B614" s="96">
        <v>43189</v>
      </c>
      <c r="C614" s="96">
        <v>43510</v>
      </c>
      <c r="D614" s="190">
        <v>24</v>
      </c>
      <c r="E614" s="100">
        <v>7170</v>
      </c>
      <c r="F614" s="100"/>
      <c r="G614" s="100"/>
      <c r="H614" s="104">
        <v>7170</v>
      </c>
      <c r="I614" s="104">
        <v>7170</v>
      </c>
      <c r="J614" s="105"/>
      <c r="K614" s="105"/>
    </row>
    <row r="615" spans="1:11" ht="24" outlineLevel="1" x14ac:dyDescent="0.2">
      <c r="A615" s="134" t="s">
        <v>828</v>
      </c>
      <c r="B615" s="96">
        <v>43189</v>
      </c>
      <c r="C615" s="96">
        <v>43475</v>
      </c>
      <c r="D615" s="190">
        <v>17</v>
      </c>
      <c r="E615" s="100">
        <v>5000</v>
      </c>
      <c r="F615" s="100"/>
      <c r="G615" s="100"/>
      <c r="H615" s="104">
        <v>5000</v>
      </c>
      <c r="I615" s="104">
        <v>5000</v>
      </c>
      <c r="J615" s="105"/>
      <c r="K615" s="105"/>
    </row>
    <row r="616" spans="1:11" ht="31.5" customHeight="1" outlineLevel="1" x14ac:dyDescent="0.2">
      <c r="A616" s="134" t="s">
        <v>829</v>
      </c>
      <c r="B616" s="96">
        <v>43251</v>
      </c>
      <c r="C616" s="96">
        <v>43517</v>
      </c>
      <c r="D616" s="190">
        <v>17</v>
      </c>
      <c r="E616" s="100">
        <v>5000</v>
      </c>
      <c r="F616" s="104"/>
      <c r="G616" s="104"/>
      <c r="H616" s="104">
        <v>5000</v>
      </c>
      <c r="I616" s="104">
        <v>5000</v>
      </c>
      <c r="J616" s="105"/>
      <c r="K616" s="105"/>
    </row>
    <row r="617" spans="1:11" ht="41.25" customHeight="1" outlineLevel="1" x14ac:dyDescent="0.2">
      <c r="A617" s="134" t="s">
        <v>830</v>
      </c>
      <c r="B617" s="96">
        <v>43189</v>
      </c>
      <c r="C617" s="96">
        <v>43452</v>
      </c>
      <c r="D617" s="190">
        <v>34</v>
      </c>
      <c r="E617" s="100">
        <v>10164</v>
      </c>
      <c r="F617" s="104"/>
      <c r="G617" s="104"/>
      <c r="H617" s="104">
        <v>10164</v>
      </c>
      <c r="I617" s="104">
        <v>10164</v>
      </c>
      <c r="J617" s="106"/>
      <c r="K617" s="106"/>
    </row>
    <row r="618" spans="1:11" outlineLevel="1" x14ac:dyDescent="0.2">
      <c r="A618" s="134" t="s">
        <v>1209</v>
      </c>
      <c r="B618" s="96">
        <v>43355</v>
      </c>
      <c r="C618" s="96">
        <v>43546</v>
      </c>
      <c r="D618" s="190">
        <v>46</v>
      </c>
      <c r="E618" s="100">
        <v>8191</v>
      </c>
      <c r="F618" s="104"/>
      <c r="G618" s="104"/>
      <c r="H618" s="104">
        <v>8191</v>
      </c>
      <c r="I618" s="104">
        <v>8191</v>
      </c>
      <c r="J618" s="106"/>
      <c r="K618" s="106"/>
    </row>
    <row r="619" spans="1:11" outlineLevel="1" x14ac:dyDescent="0.2">
      <c r="A619" s="134" t="s">
        <v>1210</v>
      </c>
      <c r="B619" s="96">
        <v>43355</v>
      </c>
      <c r="C619" s="96">
        <v>43549</v>
      </c>
      <c r="D619" s="190">
        <v>16</v>
      </c>
      <c r="E619" s="100">
        <v>8191</v>
      </c>
      <c r="F619" s="104"/>
      <c r="G619" s="104"/>
      <c r="H619" s="104">
        <v>8191</v>
      </c>
      <c r="I619" s="104">
        <v>8191</v>
      </c>
      <c r="J619" s="106"/>
      <c r="K619" s="106"/>
    </row>
    <row r="620" spans="1:11" outlineLevel="1" x14ac:dyDescent="0.2">
      <c r="A620" s="134" t="s">
        <v>1211</v>
      </c>
      <c r="B620" s="96">
        <v>43355</v>
      </c>
      <c r="C620" s="96">
        <v>43566</v>
      </c>
      <c r="D620" s="190">
        <v>13</v>
      </c>
      <c r="E620" s="100">
        <v>8191</v>
      </c>
      <c r="F620" s="104"/>
      <c r="G620" s="104"/>
      <c r="H620" s="104">
        <v>8191</v>
      </c>
      <c r="I620" s="104">
        <v>8191</v>
      </c>
      <c r="J620" s="106"/>
      <c r="K620" s="106"/>
    </row>
    <row r="621" spans="1:11" outlineLevel="1" x14ac:dyDescent="0.2">
      <c r="A621" s="134" t="s">
        <v>1212</v>
      </c>
      <c r="B621" s="96">
        <v>43355</v>
      </c>
      <c r="C621" s="96">
        <v>43674</v>
      </c>
      <c r="D621" s="190">
        <v>11</v>
      </c>
      <c r="E621" s="100">
        <v>12281</v>
      </c>
      <c r="F621" s="104"/>
      <c r="G621" s="104"/>
      <c r="H621" s="104">
        <v>12281</v>
      </c>
      <c r="I621" s="104">
        <v>12281</v>
      </c>
      <c r="J621" s="106"/>
      <c r="K621" s="106"/>
    </row>
    <row r="622" spans="1:11" ht="24" outlineLevel="1" x14ac:dyDescent="0.2">
      <c r="A622" s="134" t="s">
        <v>1213</v>
      </c>
      <c r="B622" s="96">
        <v>43355</v>
      </c>
      <c r="C622" s="96">
        <v>43619</v>
      </c>
      <c r="D622" s="190">
        <v>26</v>
      </c>
      <c r="E622" s="100">
        <v>12281</v>
      </c>
      <c r="F622" s="104"/>
      <c r="G622" s="104"/>
      <c r="H622" s="104">
        <v>12281</v>
      </c>
      <c r="I622" s="104">
        <v>12281</v>
      </c>
      <c r="J622" s="106"/>
      <c r="K622" s="106"/>
    </row>
    <row r="623" spans="1:11" x14ac:dyDescent="0.2">
      <c r="A623" s="50"/>
      <c r="B623" s="89"/>
      <c r="C623" s="89"/>
      <c r="D623" s="130"/>
      <c r="E623" s="58">
        <f>SUM(E610:E622)</f>
        <v>100469</v>
      </c>
      <c r="F623" s="58">
        <f>SUM(F608:F622)</f>
        <v>0</v>
      </c>
      <c r="G623" s="58">
        <f>SUM(G608:G617)</f>
        <v>0</v>
      </c>
      <c r="H623" s="48">
        <f>SUM(H608:H622)</f>
        <v>100469</v>
      </c>
      <c r="I623" s="48">
        <f>SUM(I608:I622)</f>
        <v>100469</v>
      </c>
      <c r="J623" s="71"/>
      <c r="K623" s="115"/>
    </row>
    <row r="624" spans="1:11" x14ac:dyDescent="0.2">
      <c r="A624" s="50"/>
      <c r="B624" s="89"/>
      <c r="C624" s="89"/>
      <c r="D624" s="130"/>
      <c r="E624" s="58"/>
      <c r="F624" s="58"/>
      <c r="G624" s="58"/>
      <c r="H624" s="48"/>
      <c r="I624" s="48"/>
      <c r="J624" s="71"/>
      <c r="K624" s="115"/>
    </row>
    <row r="625" spans="1:11" ht="24" x14ac:dyDescent="0.2">
      <c r="A625" s="40" t="s">
        <v>1655</v>
      </c>
      <c r="B625" s="90"/>
      <c r="C625" s="89"/>
      <c r="D625" s="130"/>
      <c r="E625" s="14"/>
      <c r="F625" s="14"/>
      <c r="G625" s="14"/>
      <c r="H625" s="48"/>
      <c r="I625" s="43"/>
      <c r="J625" s="45"/>
      <c r="K625" s="45"/>
    </row>
    <row r="626" spans="1:11" ht="24" outlineLevel="1" x14ac:dyDescent="0.2">
      <c r="A626" s="41" t="s">
        <v>1635</v>
      </c>
      <c r="B626" s="108">
        <v>43082</v>
      </c>
      <c r="C626" s="107">
        <v>43447</v>
      </c>
      <c r="D626" s="141">
        <v>10</v>
      </c>
      <c r="E626" s="14"/>
      <c r="F626" s="14">
        <v>20000</v>
      </c>
      <c r="G626" s="14"/>
      <c r="H626" s="48">
        <f>E626+F626+G626</f>
        <v>20000</v>
      </c>
      <c r="I626" s="48">
        <f>H626</f>
        <v>20000</v>
      </c>
      <c r="J626" s="45"/>
      <c r="K626" s="45"/>
    </row>
    <row r="627" spans="1:11" outlineLevel="1" x14ac:dyDescent="0.2">
      <c r="A627" s="49" t="s">
        <v>338</v>
      </c>
      <c r="B627" s="107">
        <v>43132</v>
      </c>
      <c r="C627" s="108">
        <v>43418</v>
      </c>
      <c r="D627" s="159">
        <v>80</v>
      </c>
      <c r="E627" s="123">
        <v>3189.26</v>
      </c>
      <c r="F627" s="123">
        <v>30144.27</v>
      </c>
      <c r="G627" s="123"/>
      <c r="H627" s="48">
        <f>E627+F627+G627</f>
        <v>33333.53</v>
      </c>
      <c r="I627" s="43">
        <f>H627</f>
        <v>33333.53</v>
      </c>
      <c r="J627" s="18"/>
      <c r="K627" s="29"/>
    </row>
    <row r="628" spans="1:11" ht="24" outlineLevel="1" x14ac:dyDescent="0.2">
      <c r="A628" s="49" t="s">
        <v>1636</v>
      </c>
      <c r="B628" s="108">
        <v>43201</v>
      </c>
      <c r="C628" s="108">
        <v>43476</v>
      </c>
      <c r="D628" s="190">
        <v>90</v>
      </c>
      <c r="E628" s="123"/>
      <c r="F628" s="123">
        <v>41594.76</v>
      </c>
      <c r="G628" s="123"/>
      <c r="H628" s="48">
        <f>E628+F628+G628</f>
        <v>41594.76</v>
      </c>
      <c r="I628" s="43">
        <f>H628</f>
        <v>41594.76</v>
      </c>
      <c r="J628" s="18"/>
      <c r="K628" s="29"/>
    </row>
    <row r="629" spans="1:11" ht="24" outlineLevel="1" x14ac:dyDescent="0.2">
      <c r="A629" s="49" t="s">
        <v>1637</v>
      </c>
      <c r="B629" s="108">
        <v>43216</v>
      </c>
      <c r="C629" s="108">
        <v>43491</v>
      </c>
      <c r="D629" s="190">
        <v>80</v>
      </c>
      <c r="E629" s="123"/>
      <c r="F629" s="123">
        <v>40183.61</v>
      </c>
      <c r="G629" s="123"/>
      <c r="H629" s="48">
        <f>E629+F629+G629</f>
        <v>40183.61</v>
      </c>
      <c r="I629" s="43">
        <f>H629</f>
        <v>40183.61</v>
      </c>
      <c r="J629" s="18"/>
      <c r="K629" s="29"/>
    </row>
    <row r="630" spans="1:11" ht="24" outlineLevel="1" x14ac:dyDescent="0.2">
      <c r="A630" s="21" t="s">
        <v>231</v>
      </c>
      <c r="B630" s="107">
        <v>42766</v>
      </c>
      <c r="C630" s="108">
        <v>43465</v>
      </c>
      <c r="D630" s="159">
        <v>90</v>
      </c>
      <c r="E630" s="123">
        <v>5990.73</v>
      </c>
      <c r="F630" s="123">
        <v>28075.48</v>
      </c>
      <c r="G630" s="123"/>
      <c r="H630" s="48">
        <f t="shared" ref="H630:H658" si="43">F630+E630+G630</f>
        <v>34066.21</v>
      </c>
      <c r="I630" s="43">
        <f t="shared" ref="I630:I658" si="44">H630</f>
        <v>34066.21</v>
      </c>
      <c r="J630" s="18"/>
      <c r="K630" s="29"/>
    </row>
    <row r="631" spans="1:11" ht="24" outlineLevel="1" x14ac:dyDescent="0.2">
      <c r="A631" s="21" t="s">
        <v>1214</v>
      </c>
      <c r="B631" s="107">
        <v>43282</v>
      </c>
      <c r="C631" s="108">
        <v>43507</v>
      </c>
      <c r="D631" s="159">
        <v>70</v>
      </c>
      <c r="E631" s="123">
        <v>3061.37</v>
      </c>
      <c r="F631" s="123">
        <v>25574.33</v>
      </c>
      <c r="G631" s="123"/>
      <c r="H631" s="48">
        <f t="shared" si="43"/>
        <v>28635.7</v>
      </c>
      <c r="I631" s="43">
        <f t="shared" si="44"/>
        <v>28635.7</v>
      </c>
      <c r="J631" s="18"/>
      <c r="K631" s="29"/>
    </row>
    <row r="632" spans="1:11" ht="24" outlineLevel="1" x14ac:dyDescent="0.2">
      <c r="A632" s="49" t="s">
        <v>1638</v>
      </c>
      <c r="B632" s="108">
        <v>43271</v>
      </c>
      <c r="C632" s="108">
        <v>43544</v>
      </c>
      <c r="D632" s="190">
        <v>70</v>
      </c>
      <c r="E632" s="123"/>
      <c r="F632" s="123">
        <v>28636.44</v>
      </c>
      <c r="G632" s="123"/>
      <c r="H632" s="48">
        <f t="shared" si="43"/>
        <v>28636.44</v>
      </c>
      <c r="I632" s="43">
        <f t="shared" si="44"/>
        <v>28636.44</v>
      </c>
      <c r="J632" s="18"/>
      <c r="K632" s="29"/>
    </row>
    <row r="633" spans="1:11" ht="24" outlineLevel="1" x14ac:dyDescent="0.2">
      <c r="A633" s="21" t="s">
        <v>831</v>
      </c>
      <c r="B633" s="107">
        <v>43252</v>
      </c>
      <c r="C633" s="108">
        <v>43476</v>
      </c>
      <c r="D633" s="159">
        <v>70</v>
      </c>
      <c r="E633" s="123">
        <v>1334.53</v>
      </c>
      <c r="F633" s="123">
        <v>4650.9399999999996</v>
      </c>
      <c r="G633" s="123"/>
      <c r="H633" s="48">
        <f t="shared" si="43"/>
        <v>5985.4699999999993</v>
      </c>
      <c r="I633" s="43">
        <f t="shared" si="44"/>
        <v>5985.4699999999993</v>
      </c>
      <c r="J633" s="18"/>
      <c r="K633" s="29"/>
    </row>
    <row r="634" spans="1:11" ht="24" outlineLevel="1" x14ac:dyDescent="0.2">
      <c r="A634" s="21" t="s">
        <v>832</v>
      </c>
      <c r="B634" s="107">
        <v>43252</v>
      </c>
      <c r="C634" s="108">
        <v>43510</v>
      </c>
      <c r="D634" s="159">
        <v>70</v>
      </c>
      <c r="E634" s="123">
        <v>3061.37</v>
      </c>
      <c r="F634" s="123">
        <v>34927.21</v>
      </c>
      <c r="G634" s="123"/>
      <c r="H634" s="48">
        <f t="shared" si="43"/>
        <v>37988.58</v>
      </c>
      <c r="I634" s="43">
        <f t="shared" si="44"/>
        <v>37988.58</v>
      </c>
      <c r="J634" s="18"/>
      <c r="K634" s="29"/>
    </row>
    <row r="635" spans="1:11" ht="24" outlineLevel="1" x14ac:dyDescent="0.2">
      <c r="A635" s="49" t="s">
        <v>1639</v>
      </c>
      <c r="B635" s="108">
        <v>43272</v>
      </c>
      <c r="C635" s="108">
        <v>43545</v>
      </c>
      <c r="D635" s="190">
        <v>90</v>
      </c>
      <c r="E635" s="123"/>
      <c r="F635" s="123">
        <v>6086.52</v>
      </c>
      <c r="G635" s="123"/>
      <c r="H635" s="48">
        <f t="shared" si="43"/>
        <v>6086.52</v>
      </c>
      <c r="I635" s="43">
        <f t="shared" si="44"/>
        <v>6086.52</v>
      </c>
      <c r="J635" s="18"/>
      <c r="K635" s="29"/>
    </row>
    <row r="636" spans="1:11" ht="24" outlineLevel="1" x14ac:dyDescent="0.2">
      <c r="A636" s="49" t="s">
        <v>1640</v>
      </c>
      <c r="B636" s="108">
        <v>43299</v>
      </c>
      <c r="C636" s="108">
        <v>43573</v>
      </c>
      <c r="D636" s="190">
        <v>80</v>
      </c>
      <c r="E636" s="123"/>
      <c r="F636" s="123">
        <v>6086.52</v>
      </c>
      <c r="G636" s="123"/>
      <c r="H636" s="48">
        <f t="shared" si="43"/>
        <v>6086.52</v>
      </c>
      <c r="I636" s="43">
        <f t="shared" si="44"/>
        <v>6086.52</v>
      </c>
      <c r="J636" s="18"/>
      <c r="K636" s="29"/>
    </row>
    <row r="637" spans="1:11" ht="24" outlineLevel="1" x14ac:dyDescent="0.2">
      <c r="A637" s="49" t="s">
        <v>1641</v>
      </c>
      <c r="B637" s="108">
        <v>43217</v>
      </c>
      <c r="C637" s="108">
        <v>43492</v>
      </c>
      <c r="D637" s="190">
        <v>90</v>
      </c>
      <c r="E637" s="123"/>
      <c r="F637" s="123">
        <v>31350.36</v>
      </c>
      <c r="G637" s="123"/>
      <c r="H637" s="48">
        <f t="shared" si="43"/>
        <v>31350.36</v>
      </c>
      <c r="I637" s="43">
        <f t="shared" si="44"/>
        <v>31350.36</v>
      </c>
      <c r="J637" s="18"/>
      <c r="K637" s="29"/>
    </row>
    <row r="638" spans="1:11" ht="24" outlineLevel="1" x14ac:dyDescent="0.2">
      <c r="A638" s="21" t="s">
        <v>833</v>
      </c>
      <c r="B638" s="107">
        <v>43221</v>
      </c>
      <c r="C638" s="108">
        <v>43476</v>
      </c>
      <c r="D638" s="159">
        <v>70</v>
      </c>
      <c r="E638" s="123">
        <v>3061.37</v>
      </c>
      <c r="F638" s="123">
        <v>25492.58</v>
      </c>
      <c r="G638" s="123"/>
      <c r="H638" s="48">
        <f>F638+E638+G638</f>
        <v>28553.95</v>
      </c>
      <c r="I638" s="43">
        <f>H638</f>
        <v>28553.95</v>
      </c>
      <c r="J638" s="18"/>
      <c r="K638" s="29"/>
    </row>
    <row r="639" spans="1:11" ht="24" outlineLevel="1" x14ac:dyDescent="0.2">
      <c r="A639" s="21" t="s">
        <v>1215</v>
      </c>
      <c r="B639" s="107">
        <v>43282</v>
      </c>
      <c r="C639" s="108">
        <v>43519</v>
      </c>
      <c r="D639" s="159">
        <v>70</v>
      </c>
      <c r="E639" s="123">
        <v>3061.37</v>
      </c>
      <c r="F639" s="123">
        <v>28280.86</v>
      </c>
      <c r="G639" s="123"/>
      <c r="H639" s="48">
        <f t="shared" si="43"/>
        <v>31342.23</v>
      </c>
      <c r="I639" s="43">
        <f t="shared" si="44"/>
        <v>31342.23</v>
      </c>
      <c r="J639" s="18"/>
      <c r="K639" s="29"/>
    </row>
    <row r="640" spans="1:11" ht="24" outlineLevel="1" x14ac:dyDescent="0.2">
      <c r="A640" s="21" t="s">
        <v>834</v>
      </c>
      <c r="B640" s="107">
        <v>43191</v>
      </c>
      <c r="C640" s="108">
        <v>43448</v>
      </c>
      <c r="D640" s="159">
        <v>70</v>
      </c>
      <c r="E640" s="123">
        <v>3061.37</v>
      </c>
      <c r="F640" s="123">
        <v>41076.400000000001</v>
      </c>
      <c r="G640" s="123"/>
      <c r="H640" s="48">
        <f t="shared" si="43"/>
        <v>44137.770000000004</v>
      </c>
      <c r="I640" s="43">
        <f t="shared" si="44"/>
        <v>44137.770000000004</v>
      </c>
      <c r="J640" s="18"/>
      <c r="K640" s="29"/>
    </row>
    <row r="641" spans="1:11" ht="24" outlineLevel="1" x14ac:dyDescent="0.2">
      <c r="A641" s="21" t="s">
        <v>835</v>
      </c>
      <c r="B641" s="107">
        <v>43221</v>
      </c>
      <c r="C641" s="108">
        <v>43517</v>
      </c>
      <c r="D641" s="159">
        <v>70</v>
      </c>
      <c r="E641" s="123">
        <v>3061.37</v>
      </c>
      <c r="F641" s="123">
        <v>29461.85</v>
      </c>
      <c r="G641" s="123"/>
      <c r="H641" s="48">
        <f t="shared" si="43"/>
        <v>32523.219999999998</v>
      </c>
      <c r="I641" s="43">
        <f t="shared" si="44"/>
        <v>32523.219999999998</v>
      </c>
      <c r="J641" s="18"/>
      <c r="K641" s="29"/>
    </row>
    <row r="642" spans="1:11" outlineLevel="1" x14ac:dyDescent="0.2">
      <c r="A642" s="49" t="s">
        <v>1642</v>
      </c>
      <c r="B642" s="108" t="s">
        <v>1643</v>
      </c>
      <c r="C642" s="108">
        <v>43559</v>
      </c>
      <c r="D642" s="190">
        <v>80</v>
      </c>
      <c r="E642" s="123"/>
      <c r="F642" s="123">
        <v>28636.44</v>
      </c>
      <c r="G642" s="123"/>
      <c r="H642" s="48">
        <f t="shared" si="43"/>
        <v>28636.44</v>
      </c>
      <c r="I642" s="43">
        <f t="shared" si="44"/>
        <v>28636.44</v>
      </c>
      <c r="J642" s="18"/>
      <c r="K642" s="29"/>
    </row>
    <row r="643" spans="1:11" ht="24" outlineLevel="1" x14ac:dyDescent="0.2">
      <c r="A643" s="21" t="s">
        <v>836</v>
      </c>
      <c r="B643" s="107">
        <v>43191</v>
      </c>
      <c r="C643" s="108">
        <v>43469</v>
      </c>
      <c r="D643" s="159">
        <v>70</v>
      </c>
      <c r="E643" s="123">
        <v>3061.37</v>
      </c>
      <c r="F643" s="123">
        <v>28355.98</v>
      </c>
      <c r="G643" s="123"/>
      <c r="H643" s="48">
        <f t="shared" si="43"/>
        <v>31417.35</v>
      </c>
      <c r="I643" s="43">
        <f t="shared" si="44"/>
        <v>31417.35</v>
      </c>
      <c r="J643" s="18"/>
      <c r="K643" s="29"/>
    </row>
    <row r="644" spans="1:11" outlineLevel="1" x14ac:dyDescent="0.2">
      <c r="A644" s="21" t="s">
        <v>837</v>
      </c>
      <c r="B644" s="107">
        <v>43191</v>
      </c>
      <c r="C644" s="108">
        <v>43404</v>
      </c>
      <c r="D644" s="159">
        <v>80</v>
      </c>
      <c r="E644" s="123">
        <v>1334.43</v>
      </c>
      <c r="F644" s="123">
        <v>26061.83</v>
      </c>
      <c r="G644" s="123"/>
      <c r="H644" s="48">
        <f>F644+E644+G644</f>
        <v>27396.260000000002</v>
      </c>
      <c r="I644" s="43">
        <f>H644</f>
        <v>27396.260000000002</v>
      </c>
      <c r="J644" s="18"/>
      <c r="K644" s="29"/>
    </row>
    <row r="645" spans="1:11" ht="24" outlineLevel="1" x14ac:dyDescent="0.2">
      <c r="A645" s="49" t="s">
        <v>1644</v>
      </c>
      <c r="B645" s="108">
        <v>43265</v>
      </c>
      <c r="C645" s="108">
        <v>43538</v>
      </c>
      <c r="D645" s="190">
        <v>90</v>
      </c>
      <c r="E645" s="123"/>
      <c r="F645" s="123">
        <v>34187.03</v>
      </c>
      <c r="G645" s="123"/>
      <c r="H645" s="48">
        <f>F645+E645+G645</f>
        <v>34187.03</v>
      </c>
      <c r="I645" s="43">
        <f>H645</f>
        <v>34187.03</v>
      </c>
      <c r="J645" s="18"/>
      <c r="K645" s="29"/>
    </row>
    <row r="646" spans="1:11" ht="24" outlineLevel="1" x14ac:dyDescent="0.2">
      <c r="A646" s="21" t="s">
        <v>1216</v>
      </c>
      <c r="B646" s="107">
        <v>43282</v>
      </c>
      <c r="C646" s="108">
        <v>43476</v>
      </c>
      <c r="D646" s="159">
        <v>70</v>
      </c>
      <c r="E646" s="123">
        <v>1334.43</v>
      </c>
      <c r="F646" s="123">
        <v>4797.58</v>
      </c>
      <c r="G646" s="123"/>
      <c r="H646" s="48">
        <f t="shared" si="43"/>
        <v>6132.01</v>
      </c>
      <c r="I646" s="43">
        <f t="shared" si="44"/>
        <v>6132.01</v>
      </c>
      <c r="J646" s="18"/>
      <c r="K646" s="29"/>
    </row>
    <row r="647" spans="1:11" outlineLevel="1" x14ac:dyDescent="0.2">
      <c r="A647" s="49" t="s">
        <v>1645</v>
      </c>
      <c r="B647" s="108">
        <v>43273</v>
      </c>
      <c r="C647" s="108">
        <v>43546</v>
      </c>
      <c r="D647" s="190">
        <v>90</v>
      </c>
      <c r="E647" s="123"/>
      <c r="F647" s="123">
        <v>37368.06</v>
      </c>
      <c r="G647" s="123"/>
      <c r="H647" s="48">
        <f t="shared" si="43"/>
        <v>37368.06</v>
      </c>
      <c r="I647" s="43">
        <f t="shared" si="44"/>
        <v>37368.06</v>
      </c>
      <c r="J647" s="18"/>
      <c r="K647" s="29"/>
    </row>
    <row r="648" spans="1:11" ht="24" outlineLevel="1" x14ac:dyDescent="0.2">
      <c r="A648" s="21" t="s">
        <v>1217</v>
      </c>
      <c r="B648" s="107">
        <v>43282</v>
      </c>
      <c r="C648" s="108">
        <v>43530</v>
      </c>
      <c r="D648" s="159">
        <v>70</v>
      </c>
      <c r="E648" s="123">
        <v>3061.37</v>
      </c>
      <c r="F648" s="123">
        <v>25574.32</v>
      </c>
      <c r="G648" s="123"/>
      <c r="H648" s="48">
        <f t="shared" si="43"/>
        <v>28635.69</v>
      </c>
      <c r="I648" s="43">
        <f t="shared" si="44"/>
        <v>28635.69</v>
      </c>
      <c r="J648" s="18"/>
      <c r="K648" s="29"/>
    </row>
    <row r="649" spans="1:11" ht="24" outlineLevel="1" x14ac:dyDescent="0.2">
      <c r="A649" s="21" t="s">
        <v>1218</v>
      </c>
      <c r="B649" s="107">
        <v>43282</v>
      </c>
      <c r="C649" s="108">
        <v>43506</v>
      </c>
      <c r="D649" s="159">
        <v>70</v>
      </c>
      <c r="E649" s="123">
        <v>3061.37</v>
      </c>
      <c r="F649" s="123">
        <v>25574.28</v>
      </c>
      <c r="G649" s="123"/>
      <c r="H649" s="48">
        <f t="shared" si="43"/>
        <v>28635.649999999998</v>
      </c>
      <c r="I649" s="43">
        <f t="shared" si="44"/>
        <v>28635.649999999998</v>
      </c>
      <c r="J649" s="18"/>
      <c r="K649" s="29"/>
    </row>
    <row r="650" spans="1:11" outlineLevel="1" x14ac:dyDescent="0.2">
      <c r="A650" s="49" t="s">
        <v>1646</v>
      </c>
      <c r="B650" s="108">
        <v>43271</v>
      </c>
      <c r="C650" s="108">
        <v>43544</v>
      </c>
      <c r="D650" s="190">
        <v>80</v>
      </c>
      <c r="E650" s="123"/>
      <c r="F650" s="123">
        <v>31350.36</v>
      </c>
      <c r="G650" s="123"/>
      <c r="H650" s="48">
        <f t="shared" si="43"/>
        <v>31350.36</v>
      </c>
      <c r="I650" s="43">
        <f t="shared" si="44"/>
        <v>31350.36</v>
      </c>
      <c r="J650" s="18"/>
      <c r="K650" s="29"/>
    </row>
    <row r="651" spans="1:11" outlineLevel="1" x14ac:dyDescent="0.2">
      <c r="A651" s="49" t="s">
        <v>1647</v>
      </c>
      <c r="B651" s="108">
        <v>43271</v>
      </c>
      <c r="C651" s="108">
        <v>43544</v>
      </c>
      <c r="D651" s="190">
        <v>80</v>
      </c>
      <c r="E651" s="123"/>
      <c r="F651" s="123">
        <v>6271.56</v>
      </c>
      <c r="G651" s="123"/>
      <c r="H651" s="48">
        <f t="shared" si="43"/>
        <v>6271.56</v>
      </c>
      <c r="I651" s="43">
        <f t="shared" si="44"/>
        <v>6271.56</v>
      </c>
      <c r="J651" s="18"/>
      <c r="K651" s="29"/>
    </row>
    <row r="652" spans="1:11" outlineLevel="1" x14ac:dyDescent="0.2">
      <c r="A652" s="49" t="s">
        <v>1648</v>
      </c>
      <c r="B652" s="108">
        <v>43243</v>
      </c>
      <c r="C652" s="108">
        <v>43519</v>
      </c>
      <c r="D652" s="190">
        <v>80</v>
      </c>
      <c r="E652" s="123"/>
      <c r="F652" s="123">
        <v>31350.34</v>
      </c>
      <c r="G652" s="123"/>
      <c r="H652" s="48">
        <f t="shared" si="43"/>
        <v>31350.34</v>
      </c>
      <c r="I652" s="43">
        <f t="shared" si="44"/>
        <v>31350.34</v>
      </c>
      <c r="J652" s="18"/>
      <c r="K652" s="29"/>
    </row>
    <row r="653" spans="1:11" outlineLevel="1" x14ac:dyDescent="0.2">
      <c r="A653" s="49" t="s">
        <v>1649</v>
      </c>
      <c r="B653" s="108">
        <v>43306</v>
      </c>
      <c r="C653" s="108">
        <v>43580</v>
      </c>
      <c r="D653" s="190">
        <v>90</v>
      </c>
      <c r="E653" s="123"/>
      <c r="F653" s="123">
        <v>36192.239999999998</v>
      </c>
      <c r="G653" s="123"/>
      <c r="H653" s="48">
        <f t="shared" si="43"/>
        <v>36192.239999999998</v>
      </c>
      <c r="I653" s="43">
        <f t="shared" si="44"/>
        <v>36192.239999999998</v>
      </c>
      <c r="J653" s="18"/>
      <c r="K653" s="29"/>
    </row>
    <row r="654" spans="1:11" outlineLevel="1" x14ac:dyDescent="0.2">
      <c r="A654" s="49" t="s">
        <v>1650</v>
      </c>
      <c r="B654" s="108">
        <v>43299</v>
      </c>
      <c r="C654" s="108">
        <v>43573</v>
      </c>
      <c r="D654" s="190">
        <v>80</v>
      </c>
      <c r="E654" s="123"/>
      <c r="F654" s="123">
        <v>28636.44</v>
      </c>
      <c r="G654" s="123"/>
      <c r="H654" s="48">
        <f t="shared" si="43"/>
        <v>28636.44</v>
      </c>
      <c r="I654" s="43">
        <f t="shared" si="44"/>
        <v>28636.44</v>
      </c>
      <c r="J654" s="18"/>
      <c r="K654" s="29"/>
    </row>
    <row r="655" spans="1:11" outlineLevel="1" x14ac:dyDescent="0.2">
      <c r="A655" s="49" t="s">
        <v>1651</v>
      </c>
      <c r="B655" s="108">
        <v>43336</v>
      </c>
      <c r="C655" s="108">
        <v>43609</v>
      </c>
      <c r="D655" s="190">
        <v>80</v>
      </c>
      <c r="E655" s="123"/>
      <c r="F655" s="123">
        <v>38297.07</v>
      </c>
      <c r="G655" s="123"/>
      <c r="H655" s="48">
        <f t="shared" si="43"/>
        <v>38297.07</v>
      </c>
      <c r="I655" s="43">
        <f t="shared" si="44"/>
        <v>38297.07</v>
      </c>
      <c r="J655" s="18"/>
      <c r="K655" s="29"/>
    </row>
    <row r="656" spans="1:11" ht="24" outlineLevel="1" x14ac:dyDescent="0.2">
      <c r="A656" s="49" t="s">
        <v>1652</v>
      </c>
      <c r="B656" s="108">
        <v>43187</v>
      </c>
      <c r="C656" s="108">
        <v>43462</v>
      </c>
      <c r="D656" s="190">
        <v>90</v>
      </c>
      <c r="E656" s="123"/>
      <c r="F656" s="123">
        <v>32874.71</v>
      </c>
      <c r="G656" s="123"/>
      <c r="H656" s="48">
        <f t="shared" si="43"/>
        <v>32874.71</v>
      </c>
      <c r="I656" s="43">
        <f t="shared" si="44"/>
        <v>32874.71</v>
      </c>
      <c r="J656" s="18"/>
      <c r="K656" s="29"/>
    </row>
    <row r="657" spans="1:11" ht="24" outlineLevel="1" x14ac:dyDescent="0.2">
      <c r="A657" s="21" t="s">
        <v>1219</v>
      </c>
      <c r="B657" s="107">
        <v>43282</v>
      </c>
      <c r="C657" s="108">
        <v>43519</v>
      </c>
      <c r="D657" s="159">
        <v>70</v>
      </c>
      <c r="E657" s="123">
        <v>3061.37</v>
      </c>
      <c r="F657" s="123">
        <v>25574.31</v>
      </c>
      <c r="G657" s="123"/>
      <c r="H657" s="48">
        <f t="shared" si="43"/>
        <v>28635.68</v>
      </c>
      <c r="I657" s="43">
        <f t="shared" si="44"/>
        <v>28635.68</v>
      </c>
      <c r="J657" s="18"/>
      <c r="K657" s="29"/>
    </row>
    <row r="658" spans="1:11" outlineLevel="1" x14ac:dyDescent="0.2">
      <c r="A658" s="21" t="s">
        <v>1614</v>
      </c>
      <c r="B658" s="107">
        <v>43282</v>
      </c>
      <c r="C658" s="108">
        <v>43519</v>
      </c>
      <c r="D658" s="159">
        <v>70</v>
      </c>
      <c r="E658" s="123">
        <v>3061.37</v>
      </c>
      <c r="F658" s="98">
        <v>32325.26</v>
      </c>
      <c r="G658" s="123"/>
      <c r="H658" s="48">
        <f t="shared" si="43"/>
        <v>35386.629999999997</v>
      </c>
      <c r="I658" s="43">
        <f t="shared" si="44"/>
        <v>35386.629999999997</v>
      </c>
      <c r="J658" s="18"/>
      <c r="K658" s="29"/>
    </row>
    <row r="659" spans="1:11" ht="24" outlineLevel="1" x14ac:dyDescent="0.2">
      <c r="A659" s="21" t="s">
        <v>232</v>
      </c>
      <c r="B659" s="107">
        <v>42826</v>
      </c>
      <c r="C659" s="108">
        <v>43464</v>
      </c>
      <c r="D659" s="159">
        <v>90</v>
      </c>
      <c r="E659" s="123">
        <v>5990.73</v>
      </c>
      <c r="F659" s="123">
        <v>64518.71</v>
      </c>
      <c r="G659" s="123"/>
      <c r="H659" s="48">
        <f t="shared" ref="H659:H669" si="45">F659+E659+G659</f>
        <v>70509.440000000002</v>
      </c>
      <c r="I659" s="43">
        <f t="shared" ref="I659:I668" si="46">H659</f>
        <v>70509.440000000002</v>
      </c>
      <c r="J659" s="18"/>
      <c r="K659" s="29"/>
    </row>
    <row r="660" spans="1:11" outlineLevel="1" x14ac:dyDescent="0.2">
      <c r="A660" s="49" t="s">
        <v>1653</v>
      </c>
      <c r="B660" s="108">
        <v>43273</v>
      </c>
      <c r="C660" s="108">
        <v>43546</v>
      </c>
      <c r="D660" s="190">
        <v>80</v>
      </c>
      <c r="E660" s="123"/>
      <c r="F660" s="123">
        <v>38484.19</v>
      </c>
      <c r="G660" s="123"/>
      <c r="H660" s="48">
        <f t="shared" si="45"/>
        <v>38484.19</v>
      </c>
      <c r="I660" s="43">
        <f t="shared" si="46"/>
        <v>38484.19</v>
      </c>
      <c r="J660" s="18"/>
      <c r="K660" s="29"/>
    </row>
    <row r="661" spans="1:11" ht="24" outlineLevel="1" x14ac:dyDescent="0.2">
      <c r="A661" s="21" t="s">
        <v>838</v>
      </c>
      <c r="B661" s="107">
        <v>43252</v>
      </c>
      <c r="C661" s="108">
        <v>43510</v>
      </c>
      <c r="D661" s="159">
        <v>70</v>
      </c>
      <c r="E661" s="123">
        <v>3061.37</v>
      </c>
      <c r="F661" s="123">
        <v>29545.29</v>
      </c>
      <c r="G661" s="123"/>
      <c r="H661" s="48">
        <f t="shared" si="45"/>
        <v>32606.66</v>
      </c>
      <c r="I661" s="43">
        <f t="shared" si="46"/>
        <v>32606.66</v>
      </c>
      <c r="J661" s="18"/>
      <c r="K661" s="29"/>
    </row>
    <row r="662" spans="1:11" ht="24" outlineLevel="1" x14ac:dyDescent="0.2">
      <c r="A662" s="21" t="s">
        <v>1220</v>
      </c>
      <c r="B662" s="107">
        <v>43282</v>
      </c>
      <c r="C662" s="108">
        <v>43476</v>
      </c>
      <c r="D662" s="159">
        <v>70</v>
      </c>
      <c r="E662" s="123">
        <v>3061.37</v>
      </c>
      <c r="F662" s="123">
        <v>25574.28</v>
      </c>
      <c r="G662" s="123"/>
      <c r="H662" s="48">
        <f>F662+E662+G662</f>
        <v>28635.649999999998</v>
      </c>
      <c r="I662" s="43">
        <f>H662</f>
        <v>28635.649999999998</v>
      </c>
      <c r="J662" s="18"/>
      <c r="K662" s="29"/>
    </row>
    <row r="663" spans="1:11" ht="24" outlineLevel="1" x14ac:dyDescent="0.2">
      <c r="A663" s="21" t="s">
        <v>1221</v>
      </c>
      <c r="B663" s="107">
        <v>43282</v>
      </c>
      <c r="C663" s="108">
        <v>43476</v>
      </c>
      <c r="D663" s="159">
        <v>70</v>
      </c>
      <c r="E663" s="123">
        <v>3061.37</v>
      </c>
      <c r="F663" s="123">
        <v>36075.31</v>
      </c>
      <c r="G663" s="123"/>
      <c r="H663" s="48">
        <f t="shared" si="45"/>
        <v>39136.68</v>
      </c>
      <c r="I663" s="43">
        <f t="shared" si="46"/>
        <v>39136.68</v>
      </c>
      <c r="J663" s="18"/>
      <c r="K663" s="29"/>
    </row>
    <row r="664" spans="1:11" ht="24" outlineLevel="1" x14ac:dyDescent="0.2">
      <c r="A664" s="49" t="s">
        <v>1654</v>
      </c>
      <c r="B664" s="108">
        <v>43292</v>
      </c>
      <c r="C664" s="108">
        <v>43566</v>
      </c>
      <c r="D664" s="190">
        <v>90</v>
      </c>
      <c r="E664" s="123"/>
      <c r="F664" s="123">
        <v>28636.44</v>
      </c>
      <c r="G664" s="123"/>
      <c r="H664" s="48">
        <f t="shared" si="45"/>
        <v>28636.44</v>
      </c>
      <c r="I664" s="43">
        <f t="shared" si="46"/>
        <v>28636.44</v>
      </c>
      <c r="J664" s="18"/>
      <c r="K664" s="29"/>
    </row>
    <row r="665" spans="1:11" ht="24" outlineLevel="1" x14ac:dyDescent="0.2">
      <c r="A665" s="21" t="s">
        <v>1222</v>
      </c>
      <c r="B665" s="107">
        <v>43282</v>
      </c>
      <c r="C665" s="108">
        <v>43530</v>
      </c>
      <c r="D665" s="159">
        <v>70</v>
      </c>
      <c r="E665" s="123">
        <v>3061.37</v>
      </c>
      <c r="F665" s="123">
        <v>61998.62</v>
      </c>
      <c r="G665" s="123"/>
      <c r="H665" s="48">
        <f t="shared" si="45"/>
        <v>65059.990000000005</v>
      </c>
      <c r="I665" s="43">
        <f t="shared" si="46"/>
        <v>65059.990000000005</v>
      </c>
      <c r="J665" s="18"/>
      <c r="K665" s="29"/>
    </row>
    <row r="666" spans="1:11" ht="24" outlineLevel="1" x14ac:dyDescent="0.2">
      <c r="A666" s="21" t="s">
        <v>1223</v>
      </c>
      <c r="B666" s="107">
        <v>43282</v>
      </c>
      <c r="C666" s="108">
        <v>43530</v>
      </c>
      <c r="D666" s="159">
        <v>70</v>
      </c>
      <c r="E666" s="123">
        <v>3061.37</v>
      </c>
      <c r="F666" s="123">
        <v>49182.33</v>
      </c>
      <c r="G666" s="123"/>
      <c r="H666" s="48">
        <f t="shared" si="45"/>
        <v>52243.700000000004</v>
      </c>
      <c r="I666" s="43">
        <f t="shared" si="46"/>
        <v>52243.700000000004</v>
      </c>
      <c r="J666" s="18"/>
      <c r="K666" s="29"/>
    </row>
    <row r="667" spans="1:11" ht="24" outlineLevel="1" x14ac:dyDescent="0.2">
      <c r="A667" s="21" t="s">
        <v>1224</v>
      </c>
      <c r="B667" s="107">
        <v>43282</v>
      </c>
      <c r="C667" s="108">
        <v>43455</v>
      </c>
      <c r="D667" s="159">
        <v>70</v>
      </c>
      <c r="E667" s="123">
        <v>3061.37</v>
      </c>
      <c r="F667" s="123">
        <v>25574.32</v>
      </c>
      <c r="G667" s="123"/>
      <c r="H667" s="48">
        <f t="shared" si="45"/>
        <v>28635.69</v>
      </c>
      <c r="I667" s="43">
        <f t="shared" si="46"/>
        <v>28635.69</v>
      </c>
      <c r="J667" s="18"/>
      <c r="K667" s="29"/>
    </row>
    <row r="668" spans="1:11" ht="24" outlineLevel="1" x14ac:dyDescent="0.2">
      <c r="A668" s="21" t="s">
        <v>839</v>
      </c>
      <c r="B668" s="107">
        <v>43252</v>
      </c>
      <c r="C668" s="108">
        <v>43510</v>
      </c>
      <c r="D668" s="159">
        <v>70</v>
      </c>
      <c r="E668" s="123">
        <v>3061.37</v>
      </c>
      <c r="F668" s="123">
        <v>29545.25</v>
      </c>
      <c r="G668" s="123"/>
      <c r="H668" s="48">
        <f t="shared" si="45"/>
        <v>32606.62</v>
      </c>
      <c r="I668" s="43">
        <f t="shared" si="46"/>
        <v>32606.62</v>
      </c>
      <c r="J668" s="18"/>
      <c r="K668" s="29"/>
    </row>
    <row r="669" spans="1:11" ht="36" outlineLevel="1" x14ac:dyDescent="0.2">
      <c r="A669" s="21" t="s">
        <v>339</v>
      </c>
      <c r="B669" s="107">
        <v>42156</v>
      </c>
      <c r="C669" s="108">
        <v>42297</v>
      </c>
      <c r="D669" s="159">
        <v>70</v>
      </c>
      <c r="E669" s="123">
        <v>0</v>
      </c>
      <c r="F669" s="123">
        <v>63352</v>
      </c>
      <c r="G669" s="123"/>
      <c r="H669" s="48">
        <f t="shared" si="45"/>
        <v>63352</v>
      </c>
      <c r="I669" s="43">
        <f t="shared" ref="I669:I673" si="47">H669</f>
        <v>63352</v>
      </c>
      <c r="J669" s="18"/>
      <c r="K669" s="29"/>
    </row>
    <row r="670" spans="1:11" ht="24" outlineLevel="1" x14ac:dyDescent="0.2">
      <c r="A670" s="41" t="s">
        <v>1631</v>
      </c>
      <c r="B670" s="108">
        <v>42690</v>
      </c>
      <c r="C670" s="107">
        <v>43348</v>
      </c>
      <c r="D670" s="188">
        <v>10</v>
      </c>
      <c r="E670" s="124">
        <f>25438+24622</f>
        <v>50060</v>
      </c>
      <c r="F670" s="14"/>
      <c r="G670" s="123"/>
      <c r="H670" s="33">
        <f>E670</f>
        <v>50060</v>
      </c>
      <c r="I670" s="33">
        <f>H670</f>
        <v>50060</v>
      </c>
      <c r="J670" s="18"/>
      <c r="K670" s="29"/>
    </row>
    <row r="671" spans="1:11" ht="24" outlineLevel="1" x14ac:dyDescent="0.2">
      <c r="A671" s="17" t="s">
        <v>1634</v>
      </c>
      <c r="B671" s="89">
        <v>43452</v>
      </c>
      <c r="C671" s="108">
        <v>43465</v>
      </c>
      <c r="D671" s="189">
        <v>10</v>
      </c>
      <c r="E671" s="123"/>
      <c r="F671" s="123"/>
      <c r="G671" s="123">
        <v>46568</v>
      </c>
      <c r="H671" s="33">
        <f>E671+F671+G671</f>
        <v>46568</v>
      </c>
      <c r="I671" s="43">
        <f>H671</f>
        <v>46568</v>
      </c>
      <c r="J671" s="18"/>
      <c r="K671" s="29"/>
    </row>
    <row r="672" spans="1:11" outlineLevel="1" x14ac:dyDescent="0.2">
      <c r="A672" s="21" t="s">
        <v>1615</v>
      </c>
      <c r="B672" s="107">
        <v>43221</v>
      </c>
      <c r="C672" s="108">
        <v>43464</v>
      </c>
      <c r="D672" s="159">
        <v>80</v>
      </c>
      <c r="E672" s="123">
        <v>28649.66</v>
      </c>
      <c r="F672" s="123"/>
      <c r="G672" s="123"/>
      <c r="H672" s="48">
        <f t="shared" ref="H672:H673" si="48">F672+E672+G672</f>
        <v>28649.66</v>
      </c>
      <c r="I672" s="43">
        <f t="shared" si="47"/>
        <v>28649.66</v>
      </c>
      <c r="J672" s="18"/>
      <c r="K672" s="29"/>
    </row>
    <row r="673" spans="1:11" ht="27.75" customHeight="1" outlineLevel="1" x14ac:dyDescent="0.2">
      <c r="A673" s="21" t="s">
        <v>1616</v>
      </c>
      <c r="B673" s="107">
        <v>43373</v>
      </c>
      <c r="C673" s="108">
        <v>43465</v>
      </c>
      <c r="D673" s="159">
        <v>20</v>
      </c>
      <c r="E673" s="123"/>
      <c r="F673" s="123">
        <v>39011.910000000003</v>
      </c>
      <c r="G673" s="123"/>
      <c r="H673" s="48">
        <f t="shared" si="48"/>
        <v>39011.910000000003</v>
      </c>
      <c r="I673" s="43">
        <f t="shared" si="47"/>
        <v>39011.910000000003</v>
      </c>
      <c r="J673" s="18"/>
      <c r="K673" s="29"/>
    </row>
    <row r="674" spans="1:11" ht="24" outlineLevel="1" x14ac:dyDescent="0.2">
      <c r="A674" s="21" t="s">
        <v>229</v>
      </c>
      <c r="B674" s="107">
        <v>42948</v>
      </c>
      <c r="C674" s="108">
        <v>43465</v>
      </c>
      <c r="D674" s="159">
        <v>80</v>
      </c>
      <c r="E674" s="123">
        <v>3189.26</v>
      </c>
      <c r="F674" s="123">
        <v>225572.33</v>
      </c>
      <c r="G674" s="123"/>
      <c r="H674" s="48">
        <f t="shared" ref="H674:H689" si="49">F674+E674+G674</f>
        <v>228761.59</v>
      </c>
      <c r="I674" s="43">
        <f t="shared" ref="I674:I689" si="50">H674</f>
        <v>228761.59</v>
      </c>
      <c r="J674" s="18"/>
      <c r="K674" s="29"/>
    </row>
    <row r="675" spans="1:11" ht="24" outlineLevel="1" x14ac:dyDescent="0.2">
      <c r="A675" s="41" t="s">
        <v>1632</v>
      </c>
      <c r="B675" s="108">
        <v>42888</v>
      </c>
      <c r="C675" s="107">
        <v>43465</v>
      </c>
      <c r="D675" s="188">
        <v>50</v>
      </c>
      <c r="E675" s="124">
        <v>19810.91</v>
      </c>
      <c r="F675" s="124">
        <v>195790.17</v>
      </c>
      <c r="G675" s="14"/>
      <c r="H675" s="33">
        <v>215601.08</v>
      </c>
      <c r="I675" s="43">
        <v>215601.08</v>
      </c>
      <c r="J675" s="18"/>
      <c r="K675" s="29"/>
    </row>
    <row r="676" spans="1:11" ht="24" outlineLevel="1" x14ac:dyDescent="0.2">
      <c r="A676" s="21" t="s">
        <v>230</v>
      </c>
      <c r="B676" s="107">
        <v>42948</v>
      </c>
      <c r="C676" s="108">
        <v>43465</v>
      </c>
      <c r="D676" s="159">
        <v>90</v>
      </c>
      <c r="E676" s="123">
        <v>6378.52</v>
      </c>
      <c r="F676" s="123">
        <v>77682.19</v>
      </c>
      <c r="G676" s="123"/>
      <c r="H676" s="48">
        <f t="shared" si="49"/>
        <v>84060.71</v>
      </c>
      <c r="I676" s="43">
        <f t="shared" si="50"/>
        <v>84060.71</v>
      </c>
      <c r="J676" s="18"/>
      <c r="K676" s="29"/>
    </row>
    <row r="677" spans="1:11" ht="28.5" customHeight="1" outlineLevel="1" x14ac:dyDescent="0.2">
      <c r="A677" s="21" t="s">
        <v>1617</v>
      </c>
      <c r="B677" s="107">
        <v>43373</v>
      </c>
      <c r="C677" s="108">
        <v>43465</v>
      </c>
      <c r="D677" s="159">
        <v>10</v>
      </c>
      <c r="E677" s="123"/>
      <c r="F677" s="123">
        <v>423.12</v>
      </c>
      <c r="G677" s="123"/>
      <c r="H677" s="48">
        <f t="shared" si="49"/>
        <v>423.12</v>
      </c>
      <c r="I677" s="43">
        <f t="shared" si="50"/>
        <v>423.12</v>
      </c>
      <c r="J677" s="18"/>
      <c r="K677" s="29"/>
    </row>
    <row r="678" spans="1:11" outlineLevel="1" x14ac:dyDescent="0.2">
      <c r="A678" s="21" t="s">
        <v>233</v>
      </c>
      <c r="B678" s="107">
        <v>42948</v>
      </c>
      <c r="C678" s="108">
        <v>43404</v>
      </c>
      <c r="D678" s="159">
        <v>90</v>
      </c>
      <c r="E678" s="123">
        <v>3189.26</v>
      </c>
      <c r="F678" s="123">
        <v>78239.42</v>
      </c>
      <c r="G678" s="123"/>
      <c r="H678" s="48">
        <f t="shared" si="49"/>
        <v>81428.679999999993</v>
      </c>
      <c r="I678" s="43">
        <f t="shared" si="50"/>
        <v>81428.679999999993</v>
      </c>
      <c r="J678" s="18"/>
      <c r="K678" s="29"/>
    </row>
    <row r="679" spans="1:11" ht="24" outlineLevel="1" x14ac:dyDescent="0.2">
      <c r="A679" s="21" t="s">
        <v>234</v>
      </c>
      <c r="B679" s="107">
        <v>43009</v>
      </c>
      <c r="C679" s="108">
        <v>43646</v>
      </c>
      <c r="D679" s="159">
        <v>80</v>
      </c>
      <c r="E679" s="123">
        <v>16641.28</v>
      </c>
      <c r="F679" s="123">
        <v>749927.47</v>
      </c>
      <c r="G679" s="123"/>
      <c r="H679" s="48">
        <f t="shared" si="49"/>
        <v>766568.75</v>
      </c>
      <c r="I679" s="43">
        <f t="shared" si="50"/>
        <v>766568.75</v>
      </c>
      <c r="J679" s="18"/>
      <c r="K679" s="29"/>
    </row>
    <row r="680" spans="1:11" ht="32.25" customHeight="1" outlineLevel="1" x14ac:dyDescent="0.2">
      <c r="A680" s="21" t="s">
        <v>1618</v>
      </c>
      <c r="B680" s="107">
        <v>43373</v>
      </c>
      <c r="C680" s="108">
        <v>43465</v>
      </c>
      <c r="D680" s="159">
        <v>20</v>
      </c>
      <c r="E680" s="123"/>
      <c r="F680" s="123">
        <v>423.12</v>
      </c>
      <c r="G680" s="123"/>
      <c r="H680" s="48">
        <f t="shared" si="49"/>
        <v>423.12</v>
      </c>
      <c r="I680" s="43">
        <f t="shared" si="50"/>
        <v>423.12</v>
      </c>
      <c r="J680" s="18"/>
      <c r="K680" s="29"/>
    </row>
    <row r="681" spans="1:11" ht="24" outlineLevel="1" x14ac:dyDescent="0.2">
      <c r="A681" s="17" t="s">
        <v>1633</v>
      </c>
      <c r="B681" s="89">
        <v>43452</v>
      </c>
      <c r="C681" s="108">
        <v>43465</v>
      </c>
      <c r="D681" s="189">
        <v>10</v>
      </c>
      <c r="E681" s="123">
        <v>2140.58</v>
      </c>
      <c r="F681" s="123">
        <v>35448</v>
      </c>
      <c r="G681" s="123"/>
      <c r="H681" s="33">
        <f>E681+F681+G681</f>
        <v>37588.58</v>
      </c>
      <c r="I681" s="43">
        <f>H681</f>
        <v>37588.58</v>
      </c>
      <c r="J681" s="18"/>
      <c r="K681" s="29"/>
    </row>
    <row r="682" spans="1:11" ht="36" outlineLevel="1" x14ac:dyDescent="0.2">
      <c r="A682" s="21" t="s">
        <v>235</v>
      </c>
      <c r="B682" s="107">
        <v>43009</v>
      </c>
      <c r="C682" s="108">
        <v>43434</v>
      </c>
      <c r="D682" s="159">
        <v>90</v>
      </c>
      <c r="E682" s="123">
        <v>3189.26</v>
      </c>
      <c r="F682" s="123">
        <v>14601.36</v>
      </c>
      <c r="G682" s="123"/>
      <c r="H682" s="48">
        <f>F682+E682+G682</f>
        <v>17790.620000000003</v>
      </c>
      <c r="I682" s="43">
        <f>H682</f>
        <v>17790.620000000003</v>
      </c>
      <c r="J682" s="18"/>
      <c r="K682" s="29"/>
    </row>
    <row r="683" spans="1:11" ht="36" outlineLevel="1" x14ac:dyDescent="0.2">
      <c r="A683" s="21" t="s">
        <v>340</v>
      </c>
      <c r="B683" s="107">
        <v>43132</v>
      </c>
      <c r="C683" s="108">
        <v>43281</v>
      </c>
      <c r="D683" s="159">
        <v>80</v>
      </c>
      <c r="E683" s="123">
        <v>3189.26</v>
      </c>
      <c r="F683" s="123">
        <v>32449.31</v>
      </c>
      <c r="G683" s="123"/>
      <c r="H683" s="48">
        <f t="shared" si="49"/>
        <v>35638.57</v>
      </c>
      <c r="I683" s="43">
        <f t="shared" si="50"/>
        <v>35638.57</v>
      </c>
      <c r="J683" s="18"/>
      <c r="K683" s="29"/>
    </row>
    <row r="684" spans="1:11" ht="28.5" customHeight="1" outlineLevel="1" x14ac:dyDescent="0.2">
      <c r="A684" s="21" t="s">
        <v>1619</v>
      </c>
      <c r="B684" s="107">
        <v>43373</v>
      </c>
      <c r="C684" s="108">
        <v>43465</v>
      </c>
      <c r="D684" s="159">
        <v>20</v>
      </c>
      <c r="E684" s="123"/>
      <c r="F684" s="123">
        <v>28884.87</v>
      </c>
      <c r="G684" s="123"/>
      <c r="H684" s="48">
        <f t="shared" si="49"/>
        <v>28884.87</v>
      </c>
      <c r="I684" s="43">
        <f t="shared" si="50"/>
        <v>28884.87</v>
      </c>
      <c r="J684" s="18"/>
      <c r="K684" s="29"/>
    </row>
    <row r="685" spans="1:11" ht="28.5" customHeight="1" outlineLevel="1" x14ac:dyDescent="0.2">
      <c r="A685" s="21" t="s">
        <v>1620</v>
      </c>
      <c r="B685" s="107">
        <v>43373</v>
      </c>
      <c r="C685" s="108">
        <v>43465</v>
      </c>
      <c r="D685" s="159">
        <v>20</v>
      </c>
      <c r="E685" s="123"/>
      <c r="F685" s="123">
        <v>31363.59</v>
      </c>
      <c r="G685" s="123"/>
      <c r="H685" s="48">
        <f t="shared" si="49"/>
        <v>31363.59</v>
      </c>
      <c r="I685" s="43">
        <f t="shared" si="50"/>
        <v>31363.59</v>
      </c>
      <c r="J685" s="18"/>
      <c r="K685" s="29"/>
    </row>
    <row r="686" spans="1:11" outlineLevel="1" x14ac:dyDescent="0.2">
      <c r="A686" s="21" t="s">
        <v>840</v>
      </c>
      <c r="B686" s="107">
        <v>43221</v>
      </c>
      <c r="C686" s="108">
        <v>43484</v>
      </c>
      <c r="D686" s="159">
        <v>80</v>
      </c>
      <c r="E686" s="123">
        <v>6122.74</v>
      </c>
      <c r="F686" s="123">
        <v>56365.61</v>
      </c>
      <c r="G686" s="123"/>
      <c r="H686" s="48">
        <f>F686+E686+G686</f>
        <v>62488.35</v>
      </c>
      <c r="I686" s="43">
        <f>H686</f>
        <v>62488.35</v>
      </c>
      <c r="J686" s="18"/>
      <c r="K686" s="29"/>
    </row>
    <row r="687" spans="1:11" ht="24" outlineLevel="1" x14ac:dyDescent="0.2">
      <c r="A687" s="21" t="s">
        <v>236</v>
      </c>
      <c r="B687" s="107">
        <v>43009</v>
      </c>
      <c r="C687" s="108">
        <v>43434</v>
      </c>
      <c r="D687" s="159">
        <v>80</v>
      </c>
      <c r="E687" s="123">
        <v>15818.41</v>
      </c>
      <c r="F687" s="123">
        <v>137176.26999999999</v>
      </c>
      <c r="G687" s="123"/>
      <c r="H687" s="48">
        <f t="shared" si="49"/>
        <v>152994.68</v>
      </c>
      <c r="I687" s="43">
        <f t="shared" si="50"/>
        <v>152994.68</v>
      </c>
      <c r="J687" s="18"/>
      <c r="K687" s="29"/>
    </row>
    <row r="688" spans="1:11" ht="24" outlineLevel="1" x14ac:dyDescent="0.2">
      <c r="A688" s="21" t="s">
        <v>237</v>
      </c>
      <c r="B688" s="107">
        <v>43040</v>
      </c>
      <c r="C688" s="108">
        <v>43646</v>
      </c>
      <c r="D688" s="159">
        <v>90</v>
      </c>
      <c r="E688" s="123">
        <v>6250.63</v>
      </c>
      <c r="F688" s="123">
        <v>85656.35</v>
      </c>
      <c r="G688" s="123"/>
      <c r="H688" s="48">
        <f t="shared" si="49"/>
        <v>91906.98000000001</v>
      </c>
      <c r="I688" s="43">
        <f t="shared" si="50"/>
        <v>91906.98000000001</v>
      </c>
      <c r="J688" s="18"/>
      <c r="K688" s="29"/>
    </row>
    <row r="689" spans="1:11" ht="24" outlineLevel="1" x14ac:dyDescent="0.2">
      <c r="A689" s="21" t="s">
        <v>238</v>
      </c>
      <c r="B689" s="107">
        <v>43040</v>
      </c>
      <c r="C689" s="108">
        <v>43646</v>
      </c>
      <c r="D689" s="159">
        <v>80</v>
      </c>
      <c r="E689" s="123">
        <v>3061.37</v>
      </c>
      <c r="F689" s="123">
        <v>67913</v>
      </c>
      <c r="G689" s="123"/>
      <c r="H689" s="48">
        <f t="shared" si="49"/>
        <v>70974.37</v>
      </c>
      <c r="I689" s="43">
        <f t="shared" si="50"/>
        <v>70974.37</v>
      </c>
      <c r="J689" s="18"/>
      <c r="K689" s="29"/>
    </row>
    <row r="690" spans="1:11" outlineLevel="1" x14ac:dyDescent="0.2">
      <c r="A690" s="21" t="s">
        <v>841</v>
      </c>
      <c r="B690" s="107">
        <v>43221</v>
      </c>
      <c r="C690" s="108">
        <v>43558</v>
      </c>
      <c r="D690" s="159">
        <v>80</v>
      </c>
      <c r="E690" s="123">
        <v>15306.85</v>
      </c>
      <c r="F690" s="123">
        <v>156503.20000000001</v>
      </c>
      <c r="G690" s="123"/>
      <c r="H690" s="48">
        <f>F690+E690+G690</f>
        <v>171810.05000000002</v>
      </c>
      <c r="I690" s="43">
        <f>H690</f>
        <v>171810.05000000002</v>
      </c>
      <c r="J690" s="18"/>
      <c r="K690" s="29"/>
    </row>
    <row r="691" spans="1:11" ht="41.25" customHeight="1" outlineLevel="1" x14ac:dyDescent="0.2">
      <c r="A691" s="17" t="s">
        <v>1621</v>
      </c>
      <c r="B691" s="89">
        <v>43373</v>
      </c>
      <c r="C691" s="89">
        <v>43465</v>
      </c>
      <c r="D691" s="130">
        <v>10</v>
      </c>
      <c r="E691" s="14"/>
      <c r="F691" s="14">
        <v>1269.3900000000001</v>
      </c>
      <c r="G691" s="14"/>
      <c r="H691" s="48">
        <f>F691+E691+G691</f>
        <v>1269.3900000000001</v>
      </c>
      <c r="I691" s="43">
        <f>H691</f>
        <v>1269.3900000000001</v>
      </c>
      <c r="J691" s="73"/>
      <c r="K691" s="65"/>
    </row>
    <row r="692" spans="1:11" x14ac:dyDescent="0.2">
      <c r="A692" s="17"/>
      <c r="B692" s="89"/>
      <c r="C692" s="89"/>
      <c r="D692" s="130"/>
      <c r="E692" s="48">
        <f>SUM(E626:E691)</f>
        <v>257276.76</v>
      </c>
      <c r="F692" s="48">
        <f>SUM(F626:F691)</f>
        <v>3362237.3600000003</v>
      </c>
      <c r="G692" s="48">
        <f>SUM(G626:G691)</f>
        <v>46568</v>
      </c>
      <c r="H692" s="48">
        <f>SUM(H626:H691)</f>
        <v>3666082.12</v>
      </c>
      <c r="I692" s="48">
        <f>H692</f>
        <v>3666082.12</v>
      </c>
      <c r="J692" s="73"/>
      <c r="K692" s="65"/>
    </row>
    <row r="693" spans="1:11" x14ac:dyDescent="0.2">
      <c r="A693" s="21"/>
      <c r="B693" s="89"/>
      <c r="C693" s="90"/>
      <c r="D693" s="187"/>
      <c r="E693" s="60"/>
      <c r="F693" s="14"/>
      <c r="G693" s="14"/>
      <c r="H693" s="48"/>
      <c r="I693" s="43"/>
      <c r="J693" s="18"/>
      <c r="K693" s="29"/>
    </row>
    <row r="694" spans="1:11" ht="24" x14ac:dyDescent="0.2">
      <c r="A694" s="40" t="s">
        <v>353</v>
      </c>
      <c r="B694" s="89"/>
      <c r="C694" s="89"/>
      <c r="D694" s="130"/>
      <c r="E694" s="58"/>
      <c r="F694" s="58"/>
      <c r="G694" s="58"/>
      <c r="H694" s="48"/>
      <c r="I694" s="48"/>
      <c r="J694" s="46"/>
      <c r="K694" s="46"/>
    </row>
    <row r="695" spans="1:11" ht="12.75" outlineLevel="1" x14ac:dyDescent="0.2">
      <c r="A695" s="135" t="s">
        <v>1225</v>
      </c>
      <c r="B695" s="107">
        <v>42953</v>
      </c>
      <c r="C695" s="107">
        <v>43683</v>
      </c>
      <c r="D695" s="188">
        <v>80</v>
      </c>
      <c r="E695" s="124">
        <v>5000</v>
      </c>
      <c r="F695" s="124"/>
      <c r="G695" s="123"/>
      <c r="H695" s="33">
        <v>5000</v>
      </c>
      <c r="I695" s="33">
        <v>5000</v>
      </c>
      <c r="J695" s="38">
        <f t="shared" ref="J695:J700" si="51">H695-I695</f>
        <v>0</v>
      </c>
      <c r="K695" s="38">
        <f t="shared" ref="K695:K700" si="52">H695-I695</f>
        <v>0</v>
      </c>
    </row>
    <row r="696" spans="1:11" ht="48" outlineLevel="1" x14ac:dyDescent="0.2">
      <c r="A696" s="135" t="s">
        <v>842</v>
      </c>
      <c r="B696" s="108">
        <v>43028</v>
      </c>
      <c r="C696" s="107">
        <v>43750</v>
      </c>
      <c r="D696" s="188">
        <v>30</v>
      </c>
      <c r="E696" s="124">
        <v>20000</v>
      </c>
      <c r="F696" s="124"/>
      <c r="G696" s="123"/>
      <c r="H696" s="33">
        <v>20000</v>
      </c>
      <c r="I696" s="33">
        <v>20000</v>
      </c>
      <c r="J696" s="38">
        <f t="shared" si="51"/>
        <v>0</v>
      </c>
      <c r="K696" s="38">
        <f t="shared" si="52"/>
        <v>0</v>
      </c>
    </row>
    <row r="697" spans="1:11" ht="24" outlineLevel="1" x14ac:dyDescent="0.2">
      <c r="A697" s="135" t="s">
        <v>843</v>
      </c>
      <c r="B697" s="108">
        <v>42961</v>
      </c>
      <c r="C697" s="107">
        <v>43464</v>
      </c>
      <c r="D697" s="188">
        <v>80</v>
      </c>
      <c r="E697" s="124">
        <v>5950</v>
      </c>
      <c r="F697" s="124"/>
      <c r="G697" s="123"/>
      <c r="H697" s="33">
        <v>5950</v>
      </c>
      <c r="I697" s="33">
        <v>5950</v>
      </c>
      <c r="J697" s="38">
        <f t="shared" si="51"/>
        <v>0</v>
      </c>
      <c r="K697" s="38">
        <f t="shared" si="52"/>
        <v>0</v>
      </c>
    </row>
    <row r="698" spans="1:11" ht="96" outlineLevel="1" x14ac:dyDescent="0.2">
      <c r="A698" s="135" t="s">
        <v>844</v>
      </c>
      <c r="B698" s="108">
        <v>42744</v>
      </c>
      <c r="C698" s="107" t="s">
        <v>845</v>
      </c>
      <c r="D698" s="188"/>
      <c r="E698" s="124"/>
      <c r="F698" s="124">
        <v>52626.76</v>
      </c>
      <c r="G698" s="123"/>
      <c r="H698" s="33">
        <v>52626.76</v>
      </c>
      <c r="I698" s="33">
        <v>52626.76</v>
      </c>
      <c r="J698" s="38">
        <f t="shared" si="51"/>
        <v>0</v>
      </c>
      <c r="K698" s="38">
        <f t="shared" si="52"/>
        <v>0</v>
      </c>
    </row>
    <row r="699" spans="1:11" ht="96" outlineLevel="1" x14ac:dyDescent="0.2">
      <c r="A699" s="135" t="s">
        <v>846</v>
      </c>
      <c r="B699" s="108">
        <v>42744</v>
      </c>
      <c r="C699" s="107" t="s">
        <v>845</v>
      </c>
      <c r="D699" s="188"/>
      <c r="E699" s="124"/>
      <c r="F699" s="124">
        <v>235428.96</v>
      </c>
      <c r="G699" s="123"/>
      <c r="H699" s="33">
        <v>235428.96</v>
      </c>
      <c r="I699" s="33">
        <v>235428.96</v>
      </c>
      <c r="J699" s="38">
        <f t="shared" si="51"/>
        <v>0</v>
      </c>
      <c r="K699" s="38">
        <f t="shared" si="52"/>
        <v>0</v>
      </c>
    </row>
    <row r="700" spans="1:11" ht="96" outlineLevel="1" x14ac:dyDescent="0.2">
      <c r="A700" s="135" t="s">
        <v>847</v>
      </c>
      <c r="B700" s="108">
        <v>42744</v>
      </c>
      <c r="C700" s="107" t="s">
        <v>845</v>
      </c>
      <c r="D700" s="188"/>
      <c r="E700" s="124"/>
      <c r="F700" s="124">
        <v>152124.51</v>
      </c>
      <c r="G700" s="123"/>
      <c r="H700" s="33">
        <v>152124.51</v>
      </c>
      <c r="I700" s="33">
        <v>152124.51</v>
      </c>
      <c r="J700" s="38">
        <f t="shared" si="51"/>
        <v>0</v>
      </c>
      <c r="K700" s="38">
        <f t="shared" si="52"/>
        <v>0</v>
      </c>
    </row>
    <row r="701" spans="1:11" s="4" customFormat="1" ht="26.25" customHeight="1" x14ac:dyDescent="0.2">
      <c r="A701" s="27"/>
      <c r="B701" s="89"/>
      <c r="C701" s="90"/>
      <c r="D701" s="187"/>
      <c r="E701" s="58">
        <f>SUM(E695:E700)</f>
        <v>30950</v>
      </c>
      <c r="F701" s="58">
        <f>SUM(F695:F700)</f>
        <v>440180.23</v>
      </c>
      <c r="G701" s="58">
        <f>SUM(G695:G700)</f>
        <v>0</v>
      </c>
      <c r="H701" s="48">
        <f>E701+F701+G701</f>
        <v>471130.23</v>
      </c>
      <c r="I701" s="43">
        <f t="shared" ref="I701" si="53">H701</f>
        <v>471130.23</v>
      </c>
      <c r="J701" s="81"/>
      <c r="K701" s="76"/>
    </row>
    <row r="702" spans="1:11" s="4" customFormat="1" ht="31.5" customHeight="1" x14ac:dyDescent="0.2">
      <c r="A702" s="40" t="s">
        <v>354</v>
      </c>
      <c r="B702" s="89"/>
      <c r="C702" s="90"/>
      <c r="D702" s="187"/>
      <c r="E702" s="61"/>
      <c r="F702" s="61"/>
      <c r="G702" s="14"/>
      <c r="H702" s="33"/>
      <c r="I702" s="43"/>
      <c r="J702" s="14"/>
      <c r="K702" s="39"/>
    </row>
    <row r="703" spans="1:11" s="26" customFormat="1" ht="28.5" customHeight="1" outlineLevel="1" x14ac:dyDescent="0.2">
      <c r="A703" s="157" t="s">
        <v>96</v>
      </c>
      <c r="B703" s="97">
        <v>42948</v>
      </c>
      <c r="C703" s="96">
        <v>43558</v>
      </c>
      <c r="D703" s="190">
        <v>10</v>
      </c>
      <c r="E703" s="100">
        <v>2483.17</v>
      </c>
      <c r="F703" s="100"/>
      <c r="G703" s="100"/>
      <c r="H703" s="102">
        <f t="shared" ref="H703:H734" si="54">F703+E703+G703</f>
        <v>2483.17</v>
      </c>
      <c r="I703" s="102">
        <v>2483.17</v>
      </c>
      <c r="J703" s="136"/>
      <c r="K703" s="136"/>
    </row>
    <row r="704" spans="1:11" s="26" customFormat="1" ht="27" customHeight="1" outlineLevel="1" x14ac:dyDescent="0.2">
      <c r="A704" s="157" t="s">
        <v>355</v>
      </c>
      <c r="B704" s="97">
        <v>43132</v>
      </c>
      <c r="C704" s="96">
        <v>43770</v>
      </c>
      <c r="D704" s="190">
        <v>10</v>
      </c>
      <c r="E704" s="100">
        <v>1985.24</v>
      </c>
      <c r="F704" s="100"/>
      <c r="G704" s="100"/>
      <c r="H704" s="102">
        <f t="shared" si="54"/>
        <v>1985.24</v>
      </c>
      <c r="I704" s="102">
        <v>1985.24</v>
      </c>
      <c r="J704" s="136"/>
      <c r="K704" s="136"/>
    </row>
    <row r="705" spans="1:11" s="26" customFormat="1" ht="27.75" customHeight="1" outlineLevel="1" x14ac:dyDescent="0.2">
      <c r="A705" s="157" t="s">
        <v>848</v>
      </c>
      <c r="B705" s="97">
        <v>43191</v>
      </c>
      <c r="C705" s="96">
        <v>43437</v>
      </c>
      <c r="D705" s="190">
        <v>10</v>
      </c>
      <c r="E705" s="100">
        <v>1391.38</v>
      </c>
      <c r="F705" s="100"/>
      <c r="G705" s="100"/>
      <c r="H705" s="102">
        <f t="shared" si="54"/>
        <v>1391.38</v>
      </c>
      <c r="I705" s="102">
        <v>1391.38</v>
      </c>
      <c r="J705" s="136"/>
      <c r="K705" s="136"/>
    </row>
    <row r="706" spans="1:11" s="26" customFormat="1" ht="26.25" customHeight="1" outlineLevel="1" x14ac:dyDescent="0.2">
      <c r="A706" s="157" t="s">
        <v>849</v>
      </c>
      <c r="B706" s="97">
        <v>43252</v>
      </c>
      <c r="C706" s="96">
        <v>43500</v>
      </c>
      <c r="D706" s="190">
        <v>10</v>
      </c>
      <c r="E706" s="100">
        <v>1048.54</v>
      </c>
      <c r="F706" s="100"/>
      <c r="G706" s="100"/>
      <c r="H706" s="102">
        <f t="shared" si="54"/>
        <v>1048.54</v>
      </c>
      <c r="I706" s="102">
        <v>1048.54</v>
      </c>
      <c r="J706" s="136"/>
      <c r="K706" s="136"/>
    </row>
    <row r="707" spans="1:11" s="26" customFormat="1" ht="27" customHeight="1" outlineLevel="1" x14ac:dyDescent="0.2">
      <c r="A707" s="157" t="s">
        <v>1226</v>
      </c>
      <c r="B707" s="97">
        <v>43282</v>
      </c>
      <c r="C707" s="96">
        <v>43454</v>
      </c>
      <c r="D707" s="190">
        <v>10</v>
      </c>
      <c r="E707" s="100">
        <v>772.49</v>
      </c>
      <c r="F707" s="100"/>
      <c r="G707" s="100"/>
      <c r="H707" s="102">
        <f t="shared" si="54"/>
        <v>772.49</v>
      </c>
      <c r="I707" s="102">
        <v>772.49</v>
      </c>
      <c r="J707" s="136"/>
      <c r="K707" s="136"/>
    </row>
    <row r="708" spans="1:11" s="26" customFormat="1" ht="26.25" customHeight="1" outlineLevel="1" x14ac:dyDescent="0.2">
      <c r="A708" s="157" t="s">
        <v>1227</v>
      </c>
      <c r="B708" s="97">
        <v>43344</v>
      </c>
      <c r="C708" s="96">
        <v>43613</v>
      </c>
      <c r="D708" s="190">
        <v>10</v>
      </c>
      <c r="E708" s="100">
        <v>1430.65</v>
      </c>
      <c r="F708" s="100"/>
      <c r="G708" s="100"/>
      <c r="H708" s="102">
        <f t="shared" si="54"/>
        <v>1430.65</v>
      </c>
      <c r="I708" s="102">
        <v>1430.65</v>
      </c>
      <c r="J708" s="136"/>
      <c r="K708" s="136"/>
    </row>
    <row r="709" spans="1:11" ht="24" outlineLevel="1" x14ac:dyDescent="0.2">
      <c r="A709" s="157" t="s">
        <v>1228</v>
      </c>
      <c r="B709" s="97">
        <v>43344</v>
      </c>
      <c r="C709" s="96">
        <v>43519</v>
      </c>
      <c r="D709" s="190">
        <v>10</v>
      </c>
      <c r="E709" s="100">
        <v>1430.65</v>
      </c>
      <c r="F709" s="100"/>
      <c r="G709" s="100"/>
      <c r="H709" s="102">
        <f t="shared" si="54"/>
        <v>1430.65</v>
      </c>
      <c r="I709" s="102">
        <v>1430.65</v>
      </c>
      <c r="J709" s="136"/>
      <c r="K709" s="136"/>
    </row>
    <row r="710" spans="1:11" s="28" customFormat="1" ht="24" outlineLevel="1" x14ac:dyDescent="0.2">
      <c r="A710" s="157" t="s">
        <v>1229</v>
      </c>
      <c r="B710" s="97">
        <v>43282</v>
      </c>
      <c r="C710" s="96">
        <v>43476</v>
      </c>
      <c r="D710" s="190">
        <v>10</v>
      </c>
      <c r="E710" s="100">
        <v>725.32</v>
      </c>
      <c r="F710" s="100"/>
      <c r="G710" s="100"/>
      <c r="H710" s="102">
        <f t="shared" si="54"/>
        <v>725.32</v>
      </c>
      <c r="I710" s="102">
        <v>725.32</v>
      </c>
      <c r="J710" s="136"/>
      <c r="K710" s="136"/>
    </row>
    <row r="711" spans="1:11" s="28" customFormat="1" ht="24" outlineLevel="1" x14ac:dyDescent="0.2">
      <c r="A711" s="157" t="s">
        <v>850</v>
      </c>
      <c r="B711" s="97">
        <v>43191</v>
      </c>
      <c r="C711" s="96">
        <v>43405</v>
      </c>
      <c r="D711" s="190">
        <v>10</v>
      </c>
      <c r="E711" s="100">
        <v>1391.38</v>
      </c>
      <c r="F711" s="100"/>
      <c r="G711" s="100"/>
      <c r="H711" s="102">
        <f t="shared" si="54"/>
        <v>1391.38</v>
      </c>
      <c r="I711" s="102">
        <v>1391.38</v>
      </c>
      <c r="J711" s="136"/>
      <c r="K711" s="136"/>
    </row>
    <row r="712" spans="1:11" s="28" customFormat="1" outlineLevel="1" x14ac:dyDescent="0.2">
      <c r="A712" s="157" t="s">
        <v>851</v>
      </c>
      <c r="B712" s="97">
        <v>43252</v>
      </c>
      <c r="C712" s="96">
        <v>43463</v>
      </c>
      <c r="D712" s="190">
        <v>10</v>
      </c>
      <c r="E712" s="100">
        <v>1048.54</v>
      </c>
      <c r="F712" s="100"/>
      <c r="G712" s="100"/>
      <c r="H712" s="102">
        <f t="shared" si="54"/>
        <v>1048.54</v>
      </c>
      <c r="I712" s="102">
        <v>1048.54</v>
      </c>
      <c r="J712" s="136"/>
      <c r="K712" s="136"/>
    </row>
    <row r="713" spans="1:11" s="28" customFormat="1" ht="24" outlineLevel="1" x14ac:dyDescent="0.2">
      <c r="A713" s="157" t="s">
        <v>356</v>
      </c>
      <c r="B713" s="97">
        <v>43160</v>
      </c>
      <c r="C713" s="96">
        <v>43700</v>
      </c>
      <c r="D713" s="190">
        <v>10</v>
      </c>
      <c r="E713" s="100">
        <v>1733.63</v>
      </c>
      <c r="F713" s="100"/>
      <c r="G713" s="100"/>
      <c r="H713" s="102">
        <f t="shared" si="54"/>
        <v>1733.63</v>
      </c>
      <c r="I713" s="102">
        <v>1733.63</v>
      </c>
      <c r="J713" s="136"/>
      <c r="K713" s="136"/>
    </row>
    <row r="714" spans="1:11" s="28" customFormat="1" outlineLevel="1" x14ac:dyDescent="0.2">
      <c r="A714" s="157" t="s">
        <v>852</v>
      </c>
      <c r="B714" s="97">
        <v>43191</v>
      </c>
      <c r="C714" s="96">
        <v>43406</v>
      </c>
      <c r="D714" s="190">
        <v>10</v>
      </c>
      <c r="E714" s="100">
        <v>56391.38</v>
      </c>
      <c r="F714" s="100"/>
      <c r="G714" s="100"/>
      <c r="H714" s="102">
        <f t="shared" si="54"/>
        <v>56391.38</v>
      </c>
      <c r="I714" s="102">
        <v>56391.38</v>
      </c>
      <c r="J714" s="136"/>
      <c r="K714" s="136"/>
    </row>
    <row r="715" spans="1:11" s="28" customFormat="1" ht="24" outlineLevel="1" x14ac:dyDescent="0.2">
      <c r="A715" s="157" t="s">
        <v>853</v>
      </c>
      <c r="B715" s="97">
        <v>43191</v>
      </c>
      <c r="C715" s="96">
        <v>43406</v>
      </c>
      <c r="D715" s="190">
        <v>10</v>
      </c>
      <c r="E715" s="100">
        <v>54249.98</v>
      </c>
      <c r="F715" s="100"/>
      <c r="G715" s="100"/>
      <c r="H715" s="102">
        <f t="shared" si="54"/>
        <v>54249.98</v>
      </c>
      <c r="I715" s="102">
        <v>54249.98</v>
      </c>
      <c r="J715" s="136"/>
      <c r="K715" s="136"/>
    </row>
    <row r="716" spans="1:11" s="28" customFormat="1" ht="24" outlineLevel="1" x14ac:dyDescent="0.2">
      <c r="A716" s="157" t="s">
        <v>854</v>
      </c>
      <c r="B716" s="97">
        <v>43252</v>
      </c>
      <c r="C716" s="96">
        <v>43478</v>
      </c>
      <c r="D716" s="190">
        <v>10</v>
      </c>
      <c r="E716" s="100">
        <v>1457.92</v>
      </c>
      <c r="F716" s="100"/>
      <c r="G716" s="100"/>
      <c r="H716" s="102">
        <f t="shared" si="54"/>
        <v>1457.92</v>
      </c>
      <c r="I716" s="102">
        <v>1457.92</v>
      </c>
      <c r="J716" s="136"/>
      <c r="K716" s="136"/>
    </row>
    <row r="717" spans="1:11" s="28" customFormat="1" ht="24" outlineLevel="1" x14ac:dyDescent="0.2">
      <c r="A717" s="157" t="s">
        <v>357</v>
      </c>
      <c r="B717" s="97">
        <v>43132</v>
      </c>
      <c r="C717" s="96">
        <v>43399</v>
      </c>
      <c r="D717" s="190">
        <v>10</v>
      </c>
      <c r="E717" s="100">
        <v>1146.3599999999999</v>
      </c>
      <c r="F717" s="100"/>
      <c r="G717" s="100"/>
      <c r="H717" s="102">
        <f t="shared" si="54"/>
        <v>1146.3599999999999</v>
      </c>
      <c r="I717" s="102">
        <v>1146.3599999999999</v>
      </c>
      <c r="J717" s="136"/>
      <c r="K717" s="136"/>
    </row>
    <row r="718" spans="1:11" s="28" customFormat="1" ht="24" outlineLevel="1" x14ac:dyDescent="0.2">
      <c r="A718" s="157" t="s">
        <v>358</v>
      </c>
      <c r="B718" s="97">
        <v>43160</v>
      </c>
      <c r="C718" s="96">
        <v>43399</v>
      </c>
      <c r="D718" s="190">
        <v>25</v>
      </c>
      <c r="E718" s="100">
        <v>40510</v>
      </c>
      <c r="F718" s="100">
        <v>122140.98</v>
      </c>
      <c r="G718" s="100"/>
      <c r="H718" s="102">
        <f t="shared" si="54"/>
        <v>162650.97999999998</v>
      </c>
      <c r="I718" s="102">
        <v>162650.98000000001</v>
      </c>
      <c r="J718" s="136"/>
      <c r="K718" s="136"/>
    </row>
    <row r="719" spans="1:11" s="28" customFormat="1" outlineLevel="1" x14ac:dyDescent="0.2">
      <c r="A719" s="157" t="s">
        <v>1230</v>
      </c>
      <c r="B719" s="97">
        <v>43282</v>
      </c>
      <c r="C719" s="96">
        <v>43434</v>
      </c>
      <c r="D719" s="190">
        <v>10</v>
      </c>
      <c r="E719" s="100">
        <v>1409.16</v>
      </c>
      <c r="F719" s="100"/>
      <c r="G719" s="100"/>
      <c r="H719" s="102">
        <f t="shared" si="54"/>
        <v>1409.16</v>
      </c>
      <c r="I719" s="102">
        <v>1409.16</v>
      </c>
      <c r="J719" s="136"/>
      <c r="K719" s="136"/>
    </row>
    <row r="720" spans="1:11" s="28" customFormat="1" ht="24" outlineLevel="1" x14ac:dyDescent="0.2">
      <c r="A720" s="157" t="s">
        <v>1231</v>
      </c>
      <c r="B720" s="97">
        <v>43282</v>
      </c>
      <c r="C720" s="96">
        <v>43510</v>
      </c>
      <c r="D720" s="190">
        <v>10</v>
      </c>
      <c r="E720" s="100">
        <v>725.32</v>
      </c>
      <c r="F720" s="100"/>
      <c r="G720" s="100"/>
      <c r="H720" s="102">
        <f t="shared" si="54"/>
        <v>725.32</v>
      </c>
      <c r="I720" s="102">
        <v>725.32</v>
      </c>
      <c r="J720" s="136"/>
      <c r="K720" s="136"/>
    </row>
    <row r="721" spans="1:11" s="28" customFormat="1" outlineLevel="1" x14ac:dyDescent="0.2">
      <c r="A721" s="157" t="s">
        <v>855</v>
      </c>
      <c r="B721" s="97">
        <v>43252</v>
      </c>
      <c r="C721" s="96">
        <v>43463</v>
      </c>
      <c r="D721" s="190">
        <v>10</v>
      </c>
      <c r="E721" s="100">
        <v>1386.72</v>
      </c>
      <c r="F721" s="100"/>
      <c r="G721" s="100"/>
      <c r="H721" s="102">
        <f t="shared" si="54"/>
        <v>1386.72</v>
      </c>
      <c r="I721" s="102">
        <v>1386.72</v>
      </c>
      <c r="J721" s="136"/>
      <c r="K721" s="136"/>
    </row>
    <row r="722" spans="1:11" s="28" customFormat="1" outlineLevel="1" x14ac:dyDescent="0.2">
      <c r="A722" s="157" t="s">
        <v>856</v>
      </c>
      <c r="B722" s="97">
        <v>43252</v>
      </c>
      <c r="C722" s="96">
        <v>43489</v>
      </c>
      <c r="D722" s="190">
        <v>10</v>
      </c>
      <c r="E722" s="100">
        <v>1457.92</v>
      </c>
      <c r="F722" s="100"/>
      <c r="G722" s="100"/>
      <c r="H722" s="102">
        <f t="shared" si="54"/>
        <v>1457.92</v>
      </c>
      <c r="I722" s="102">
        <v>1457.92</v>
      </c>
      <c r="J722" s="136"/>
      <c r="K722" s="136"/>
    </row>
    <row r="723" spans="1:11" s="28" customFormat="1" ht="24" outlineLevel="1" x14ac:dyDescent="0.2">
      <c r="A723" s="157" t="s">
        <v>1232</v>
      </c>
      <c r="B723" s="97">
        <v>43282</v>
      </c>
      <c r="C723" s="96">
        <v>43504</v>
      </c>
      <c r="D723" s="190">
        <v>10</v>
      </c>
      <c r="E723" s="100">
        <v>1409.16</v>
      </c>
      <c r="F723" s="100"/>
      <c r="G723" s="100"/>
      <c r="H723" s="102">
        <f t="shared" si="54"/>
        <v>1409.16</v>
      </c>
      <c r="I723" s="102">
        <v>1409.16</v>
      </c>
      <c r="J723" s="136"/>
      <c r="K723" s="136"/>
    </row>
    <row r="724" spans="1:11" s="28" customFormat="1" ht="24" outlineLevel="1" x14ac:dyDescent="0.2">
      <c r="A724" s="157" t="s">
        <v>857</v>
      </c>
      <c r="B724" s="97">
        <v>43221</v>
      </c>
      <c r="C724" s="96" t="s">
        <v>1233</v>
      </c>
      <c r="D724" s="190">
        <v>10</v>
      </c>
      <c r="E724" s="100">
        <v>1112.2</v>
      </c>
      <c r="F724" s="100"/>
      <c r="G724" s="100"/>
      <c r="H724" s="102">
        <f t="shared" si="54"/>
        <v>1112.2</v>
      </c>
      <c r="I724" s="102">
        <v>1112.2</v>
      </c>
      <c r="J724" s="136"/>
      <c r="K724" s="136"/>
    </row>
    <row r="725" spans="1:11" s="4" customFormat="1" ht="24.75" customHeight="1" outlineLevel="1" x14ac:dyDescent="0.2">
      <c r="A725" s="157" t="s">
        <v>1234</v>
      </c>
      <c r="B725" s="97">
        <v>43344</v>
      </c>
      <c r="C725" s="96">
        <v>43565</v>
      </c>
      <c r="D725" s="190">
        <v>10</v>
      </c>
      <c r="E725" s="100">
        <v>1430.65</v>
      </c>
      <c r="F725" s="100"/>
      <c r="G725" s="100"/>
      <c r="H725" s="102">
        <f t="shared" si="54"/>
        <v>1430.65</v>
      </c>
      <c r="I725" s="102">
        <v>1430.65</v>
      </c>
      <c r="J725" s="136"/>
      <c r="K725" s="136"/>
    </row>
    <row r="726" spans="1:11" ht="41.25" customHeight="1" outlineLevel="1" x14ac:dyDescent="0.2">
      <c r="A726" s="157" t="s">
        <v>1235</v>
      </c>
      <c r="B726" s="97">
        <v>43344</v>
      </c>
      <c r="C726" s="96">
        <v>43565</v>
      </c>
      <c r="D726" s="190">
        <v>10</v>
      </c>
      <c r="E726" s="100">
        <v>1430.65</v>
      </c>
      <c r="F726" s="100"/>
      <c r="G726" s="100"/>
      <c r="H726" s="102">
        <f t="shared" si="54"/>
        <v>1430.65</v>
      </c>
      <c r="I726" s="102">
        <v>1430.65</v>
      </c>
      <c r="J726" s="136"/>
      <c r="K726" s="136"/>
    </row>
    <row r="727" spans="1:11" ht="24" outlineLevel="1" x14ac:dyDescent="0.2">
      <c r="A727" s="157" t="s">
        <v>97</v>
      </c>
      <c r="B727" s="97">
        <v>42948</v>
      </c>
      <c r="C727" s="96">
        <v>43560</v>
      </c>
      <c r="D727" s="190">
        <v>10</v>
      </c>
      <c r="E727" s="100">
        <v>2483.17</v>
      </c>
      <c r="F727" s="100"/>
      <c r="G727" s="100"/>
      <c r="H727" s="102">
        <f t="shared" si="54"/>
        <v>2483.17</v>
      </c>
      <c r="I727" s="102">
        <v>2483.17</v>
      </c>
      <c r="J727" s="136"/>
      <c r="K727" s="136"/>
    </row>
    <row r="728" spans="1:11" s="26" customFormat="1" ht="33" customHeight="1" outlineLevel="1" x14ac:dyDescent="0.2">
      <c r="A728" s="157" t="s">
        <v>239</v>
      </c>
      <c r="B728" s="97">
        <v>43282</v>
      </c>
      <c r="C728" s="96">
        <v>43621</v>
      </c>
      <c r="D728" s="190">
        <v>10</v>
      </c>
      <c r="E728" s="100">
        <v>1416.54</v>
      </c>
      <c r="F728" s="100"/>
      <c r="G728" s="100"/>
      <c r="H728" s="102">
        <f t="shared" si="54"/>
        <v>1416.54</v>
      </c>
      <c r="I728" s="102">
        <v>1416.54</v>
      </c>
      <c r="J728" s="136"/>
      <c r="K728" s="136"/>
    </row>
    <row r="729" spans="1:11" s="26" customFormat="1" ht="29.25" customHeight="1" outlineLevel="1" x14ac:dyDescent="0.2">
      <c r="A729" s="157" t="s">
        <v>240</v>
      </c>
      <c r="B729" s="97">
        <v>43282</v>
      </c>
      <c r="C729" s="96">
        <v>43561</v>
      </c>
      <c r="D729" s="190">
        <v>10</v>
      </c>
      <c r="E729" s="100">
        <v>30008.12</v>
      </c>
      <c r="F729" s="100"/>
      <c r="G729" s="100"/>
      <c r="H729" s="102">
        <f t="shared" si="54"/>
        <v>30008.12</v>
      </c>
      <c r="I729" s="102">
        <v>30008.12</v>
      </c>
      <c r="J729" s="136"/>
      <c r="K729" s="136"/>
    </row>
    <row r="730" spans="1:11" s="26" customFormat="1" ht="27.75" customHeight="1" outlineLevel="1" x14ac:dyDescent="0.2">
      <c r="A730" s="157" t="s">
        <v>1236</v>
      </c>
      <c r="B730" s="97">
        <v>43344</v>
      </c>
      <c r="C730" s="96">
        <v>43500</v>
      </c>
      <c r="D730" s="190">
        <v>10</v>
      </c>
      <c r="E730" s="100">
        <v>4370.29</v>
      </c>
      <c r="F730" s="100"/>
      <c r="G730" s="100"/>
      <c r="H730" s="102">
        <f t="shared" si="54"/>
        <v>4370.29</v>
      </c>
      <c r="I730" s="102">
        <v>4370.29</v>
      </c>
      <c r="J730" s="136"/>
      <c r="K730" s="136"/>
    </row>
    <row r="731" spans="1:11" s="26" customFormat="1" ht="30.75" customHeight="1" outlineLevel="1" x14ac:dyDescent="0.2">
      <c r="A731" s="157" t="s">
        <v>858</v>
      </c>
      <c r="B731" s="97">
        <v>43252</v>
      </c>
      <c r="C731" s="96">
        <v>43475</v>
      </c>
      <c r="D731" s="190">
        <v>10</v>
      </c>
      <c r="E731" s="100">
        <v>1457.92</v>
      </c>
      <c r="F731" s="100"/>
      <c r="G731" s="100"/>
      <c r="H731" s="102">
        <f t="shared" si="54"/>
        <v>1457.92</v>
      </c>
      <c r="I731" s="102">
        <v>1457.92</v>
      </c>
      <c r="J731" s="136"/>
      <c r="K731" s="136"/>
    </row>
    <row r="732" spans="1:11" s="26" customFormat="1" ht="30" customHeight="1" outlineLevel="1" x14ac:dyDescent="0.2">
      <c r="A732" s="157" t="s">
        <v>98</v>
      </c>
      <c r="B732" s="97">
        <v>42887</v>
      </c>
      <c r="C732" s="96">
        <v>43560</v>
      </c>
      <c r="D732" s="190">
        <v>10</v>
      </c>
      <c r="E732" s="100">
        <v>2033.62</v>
      </c>
      <c r="F732" s="100"/>
      <c r="G732" s="100"/>
      <c r="H732" s="102">
        <f t="shared" si="54"/>
        <v>2033.62</v>
      </c>
      <c r="I732" s="102">
        <v>2033.62</v>
      </c>
      <c r="J732" s="136"/>
      <c r="K732" s="136"/>
    </row>
    <row r="733" spans="1:11" s="26" customFormat="1" ht="36.75" customHeight="1" outlineLevel="1" x14ac:dyDescent="0.2">
      <c r="A733" s="157" t="s">
        <v>99</v>
      </c>
      <c r="B733" s="97">
        <v>42826</v>
      </c>
      <c r="C733" s="96">
        <v>43455</v>
      </c>
      <c r="D733" s="190">
        <v>10</v>
      </c>
      <c r="E733" s="100">
        <v>2542.9699999999998</v>
      </c>
      <c r="F733" s="100"/>
      <c r="G733" s="100"/>
      <c r="H733" s="102">
        <f t="shared" si="54"/>
        <v>2542.9699999999998</v>
      </c>
      <c r="I733" s="102">
        <v>2542.9699999999998</v>
      </c>
      <c r="J733" s="136"/>
      <c r="K733" s="136"/>
    </row>
    <row r="734" spans="1:11" s="26" customFormat="1" ht="43.5" customHeight="1" outlineLevel="1" x14ac:dyDescent="0.2">
      <c r="A734" s="157" t="s">
        <v>1237</v>
      </c>
      <c r="B734" s="97">
        <v>43344</v>
      </c>
      <c r="C734" s="96">
        <v>43521</v>
      </c>
      <c r="D734" s="190">
        <v>10</v>
      </c>
      <c r="E734" s="100">
        <v>2861.3</v>
      </c>
      <c r="F734" s="100"/>
      <c r="G734" s="100"/>
      <c r="H734" s="102">
        <f t="shared" si="54"/>
        <v>2861.3</v>
      </c>
      <c r="I734" s="102">
        <v>2861.3</v>
      </c>
      <c r="J734" s="136"/>
      <c r="K734" s="136"/>
    </row>
    <row r="735" spans="1:11" s="26" customFormat="1" ht="32.25" customHeight="1" outlineLevel="1" x14ac:dyDescent="0.2">
      <c r="A735" s="157" t="s">
        <v>859</v>
      </c>
      <c r="B735" s="97">
        <v>43252</v>
      </c>
      <c r="C735" s="96">
        <v>43475</v>
      </c>
      <c r="D735" s="190">
        <v>10</v>
      </c>
      <c r="E735" s="100">
        <v>1048.54</v>
      </c>
      <c r="F735" s="100"/>
      <c r="G735" s="100"/>
      <c r="H735" s="102">
        <f t="shared" ref="H735:H766" si="55">F735+E735+G735</f>
        <v>1048.54</v>
      </c>
      <c r="I735" s="102">
        <v>1048.54</v>
      </c>
      <c r="J735" s="136"/>
      <c r="K735" s="136"/>
    </row>
    <row r="736" spans="1:11" s="26" customFormat="1" ht="36" customHeight="1" outlineLevel="1" x14ac:dyDescent="0.2">
      <c r="A736" s="157" t="s">
        <v>860</v>
      </c>
      <c r="B736" s="97">
        <v>43252</v>
      </c>
      <c r="C736" s="96">
        <v>43349</v>
      </c>
      <c r="D736" s="190">
        <v>10</v>
      </c>
      <c r="E736" s="100">
        <v>1390.9</v>
      </c>
      <c r="F736" s="100"/>
      <c r="G736" s="100"/>
      <c r="H736" s="102">
        <f t="shared" si="55"/>
        <v>1390.9</v>
      </c>
      <c r="I736" s="102">
        <v>1390.9</v>
      </c>
      <c r="J736" s="136"/>
      <c r="K736" s="136"/>
    </row>
    <row r="737" spans="1:11" s="26" customFormat="1" ht="33" customHeight="1" outlineLevel="1" x14ac:dyDescent="0.2">
      <c r="A737" s="157" t="s">
        <v>861</v>
      </c>
      <c r="B737" s="97">
        <v>43221</v>
      </c>
      <c r="C737" s="96">
        <v>43405</v>
      </c>
      <c r="D737" s="190">
        <v>10</v>
      </c>
      <c r="E737" s="100">
        <v>1112.22</v>
      </c>
      <c r="F737" s="100"/>
      <c r="G737" s="100"/>
      <c r="H737" s="102">
        <f t="shared" si="55"/>
        <v>1112.22</v>
      </c>
      <c r="I737" s="102">
        <v>1112.22</v>
      </c>
      <c r="J737" s="136"/>
      <c r="K737" s="136"/>
    </row>
    <row r="738" spans="1:11" s="26" customFormat="1" outlineLevel="1" x14ac:dyDescent="0.2">
      <c r="A738" s="157" t="s">
        <v>1238</v>
      </c>
      <c r="B738" s="97">
        <v>43313</v>
      </c>
      <c r="C738" s="96">
        <v>43510</v>
      </c>
      <c r="D738" s="190">
        <v>10</v>
      </c>
      <c r="E738" s="100">
        <v>1209.77</v>
      </c>
      <c r="F738" s="100"/>
      <c r="G738" s="100"/>
      <c r="H738" s="102">
        <f t="shared" si="55"/>
        <v>1209.77</v>
      </c>
      <c r="I738" s="102">
        <v>1209.77</v>
      </c>
      <c r="J738" s="136"/>
      <c r="K738" s="136"/>
    </row>
    <row r="739" spans="1:11" s="26" customFormat="1" ht="35.25" customHeight="1" outlineLevel="1" x14ac:dyDescent="0.2">
      <c r="A739" s="157" t="s">
        <v>862</v>
      </c>
      <c r="B739" s="97">
        <v>43252</v>
      </c>
      <c r="C739" s="96">
        <v>43482</v>
      </c>
      <c r="D739" s="190">
        <v>80</v>
      </c>
      <c r="E739" s="100">
        <v>574.91</v>
      </c>
      <c r="F739" s="100">
        <v>10943.84</v>
      </c>
      <c r="G739" s="100"/>
      <c r="H739" s="102">
        <f t="shared" si="55"/>
        <v>11518.75</v>
      </c>
      <c r="I739" s="102">
        <v>11518.75</v>
      </c>
      <c r="J739" s="136"/>
      <c r="K739" s="136"/>
    </row>
    <row r="740" spans="1:11" s="26" customFormat="1" ht="32.25" customHeight="1" outlineLevel="1" x14ac:dyDescent="0.2">
      <c r="A740" s="157" t="s">
        <v>1239</v>
      </c>
      <c r="B740" s="97">
        <v>43313</v>
      </c>
      <c r="C740" s="96">
        <v>43424</v>
      </c>
      <c r="D740" s="190">
        <v>10</v>
      </c>
      <c r="E740" s="100">
        <v>1593.55</v>
      </c>
      <c r="F740" s="100"/>
      <c r="G740" s="100"/>
      <c r="H740" s="102">
        <f t="shared" si="55"/>
        <v>1593.55</v>
      </c>
      <c r="I740" s="102">
        <v>1593.55</v>
      </c>
      <c r="J740" s="136"/>
      <c r="K740" s="136"/>
    </row>
    <row r="741" spans="1:11" s="26" customFormat="1" ht="32.25" customHeight="1" outlineLevel="1" x14ac:dyDescent="0.2">
      <c r="A741" s="157" t="s">
        <v>863</v>
      </c>
      <c r="B741" s="97">
        <v>43252</v>
      </c>
      <c r="C741" s="96">
        <v>43447</v>
      </c>
      <c r="D741" s="190">
        <v>10</v>
      </c>
      <c r="E741" s="100">
        <v>1457.92</v>
      </c>
      <c r="F741" s="100"/>
      <c r="G741" s="100"/>
      <c r="H741" s="102">
        <f t="shared" si="55"/>
        <v>1457.92</v>
      </c>
      <c r="I741" s="102">
        <v>1457.92</v>
      </c>
      <c r="J741" s="136"/>
      <c r="K741" s="136"/>
    </row>
    <row r="742" spans="1:11" s="26" customFormat="1" ht="27.75" customHeight="1" outlineLevel="1" x14ac:dyDescent="0.2">
      <c r="A742" s="157" t="s">
        <v>1240</v>
      </c>
      <c r="B742" s="97">
        <v>43344</v>
      </c>
      <c r="C742" s="96">
        <v>43532</v>
      </c>
      <c r="D742" s="190">
        <v>10</v>
      </c>
      <c r="E742" s="100">
        <v>1430.65</v>
      </c>
      <c r="F742" s="100"/>
      <c r="G742" s="100"/>
      <c r="H742" s="102">
        <f t="shared" si="55"/>
        <v>1430.65</v>
      </c>
      <c r="I742" s="102">
        <v>1430.65</v>
      </c>
      <c r="J742" s="136"/>
      <c r="K742" s="136"/>
    </row>
    <row r="743" spans="1:11" s="26" customFormat="1" ht="29.25" customHeight="1" outlineLevel="1" x14ac:dyDescent="0.2">
      <c r="A743" s="157" t="s">
        <v>864</v>
      </c>
      <c r="B743" s="97">
        <v>43252</v>
      </c>
      <c r="C743" s="96">
        <v>43447</v>
      </c>
      <c r="D743" s="190">
        <v>10</v>
      </c>
      <c r="E743" s="100">
        <v>1048.54</v>
      </c>
      <c r="F743" s="100"/>
      <c r="G743" s="100"/>
      <c r="H743" s="102">
        <f t="shared" si="55"/>
        <v>1048.54</v>
      </c>
      <c r="I743" s="102">
        <v>1048.54</v>
      </c>
      <c r="J743" s="136"/>
      <c r="K743" s="136"/>
    </row>
    <row r="744" spans="1:11" s="26" customFormat="1" ht="35.25" customHeight="1" outlineLevel="1" x14ac:dyDescent="0.2">
      <c r="A744" s="157" t="s">
        <v>865</v>
      </c>
      <c r="B744" s="97">
        <v>43252</v>
      </c>
      <c r="C744" s="96">
        <v>43469</v>
      </c>
      <c r="D744" s="190">
        <v>10</v>
      </c>
      <c r="E744" s="100">
        <v>2848.82</v>
      </c>
      <c r="F744" s="100"/>
      <c r="G744" s="100"/>
      <c r="H744" s="102">
        <f t="shared" si="55"/>
        <v>2848.82</v>
      </c>
      <c r="I744" s="102">
        <v>2848.82</v>
      </c>
      <c r="J744" s="136"/>
      <c r="K744" s="136"/>
    </row>
    <row r="745" spans="1:11" s="26" customFormat="1" ht="35.25" customHeight="1" outlineLevel="1" x14ac:dyDescent="0.2">
      <c r="A745" s="157" t="s">
        <v>1241</v>
      </c>
      <c r="B745" s="97">
        <v>43282</v>
      </c>
      <c r="C745" s="96">
        <v>43528</v>
      </c>
      <c r="D745" s="190">
        <v>10</v>
      </c>
      <c r="E745" s="100">
        <v>2794.18</v>
      </c>
      <c r="F745" s="100"/>
      <c r="G745" s="100"/>
      <c r="H745" s="102">
        <f t="shared" si="55"/>
        <v>2794.18</v>
      </c>
      <c r="I745" s="102">
        <v>2794.18</v>
      </c>
      <c r="J745" s="136"/>
      <c r="K745" s="136"/>
    </row>
    <row r="746" spans="1:11" s="26" customFormat="1" ht="35.25" customHeight="1" outlineLevel="1" x14ac:dyDescent="0.2">
      <c r="A746" s="157" t="s">
        <v>359</v>
      </c>
      <c r="B746" s="97">
        <v>43160</v>
      </c>
      <c r="C746" s="96">
        <v>43431</v>
      </c>
      <c r="D746" s="190">
        <v>10</v>
      </c>
      <c r="E746" s="100">
        <v>5122.96</v>
      </c>
      <c r="F746" s="100"/>
      <c r="G746" s="100"/>
      <c r="H746" s="102">
        <f t="shared" si="55"/>
        <v>5122.96</v>
      </c>
      <c r="I746" s="102">
        <v>5122.96</v>
      </c>
      <c r="J746" s="136"/>
      <c r="K746" s="136"/>
    </row>
    <row r="747" spans="1:11" s="26" customFormat="1" ht="35.25" customHeight="1" outlineLevel="1" x14ac:dyDescent="0.2">
      <c r="A747" s="157" t="s">
        <v>866</v>
      </c>
      <c r="B747" s="97">
        <v>43252</v>
      </c>
      <c r="C747" s="96">
        <v>43439</v>
      </c>
      <c r="D747" s="190">
        <v>10</v>
      </c>
      <c r="E747" s="100">
        <v>1457.92</v>
      </c>
      <c r="F747" s="100"/>
      <c r="G747" s="100"/>
      <c r="H747" s="102">
        <f t="shared" si="55"/>
        <v>1457.92</v>
      </c>
      <c r="I747" s="102">
        <v>1457.92</v>
      </c>
      <c r="J747" s="136"/>
      <c r="K747" s="136"/>
    </row>
    <row r="748" spans="1:11" ht="24" outlineLevel="1" x14ac:dyDescent="0.2">
      <c r="A748" s="157" t="s">
        <v>79</v>
      </c>
      <c r="B748" s="97">
        <v>42705</v>
      </c>
      <c r="C748" s="96">
        <v>43378</v>
      </c>
      <c r="D748" s="190">
        <v>10</v>
      </c>
      <c r="E748" s="100">
        <v>3483.24</v>
      </c>
      <c r="F748" s="100"/>
      <c r="G748" s="100"/>
      <c r="H748" s="102">
        <f t="shared" si="55"/>
        <v>3483.24</v>
      </c>
      <c r="I748" s="102">
        <v>3483.24</v>
      </c>
      <c r="J748" s="136"/>
      <c r="K748" s="136"/>
    </row>
    <row r="749" spans="1:11" s="26" customFormat="1" ht="36" outlineLevel="1" x14ac:dyDescent="0.2">
      <c r="A749" s="157" t="s">
        <v>1242</v>
      </c>
      <c r="B749" s="97">
        <v>43282</v>
      </c>
      <c r="C749" s="96">
        <v>43500</v>
      </c>
      <c r="D749" s="190">
        <v>10</v>
      </c>
      <c r="E749" s="100">
        <v>1323.7</v>
      </c>
      <c r="F749" s="100"/>
      <c r="G749" s="100"/>
      <c r="H749" s="102">
        <f t="shared" si="55"/>
        <v>1323.7</v>
      </c>
      <c r="I749" s="102">
        <v>1323.7</v>
      </c>
      <c r="J749" s="136"/>
      <c r="K749" s="136"/>
    </row>
    <row r="750" spans="1:11" s="26" customFormat="1" ht="35.25" customHeight="1" outlineLevel="1" x14ac:dyDescent="0.2">
      <c r="A750" s="157" t="s">
        <v>360</v>
      </c>
      <c r="B750" s="97">
        <v>43160</v>
      </c>
      <c r="C750" s="96">
        <v>43403</v>
      </c>
      <c r="D750" s="190">
        <v>10</v>
      </c>
      <c r="E750" s="100">
        <v>1733.63</v>
      </c>
      <c r="F750" s="100"/>
      <c r="G750" s="100"/>
      <c r="H750" s="102">
        <f t="shared" si="55"/>
        <v>1733.63</v>
      </c>
      <c r="I750" s="102">
        <v>1733.63</v>
      </c>
      <c r="J750" s="136"/>
      <c r="K750" s="136"/>
    </row>
    <row r="751" spans="1:11" s="26" customFormat="1" ht="35.25" customHeight="1" outlineLevel="1" x14ac:dyDescent="0.2">
      <c r="A751" s="157" t="s">
        <v>867</v>
      </c>
      <c r="B751" s="97">
        <v>43191</v>
      </c>
      <c r="C751" s="96">
        <v>43405</v>
      </c>
      <c r="D751" s="190">
        <v>10</v>
      </c>
      <c r="E751" s="100">
        <v>1391.38</v>
      </c>
      <c r="F751" s="100"/>
      <c r="G751" s="100"/>
      <c r="H751" s="102">
        <f t="shared" si="55"/>
        <v>1391.38</v>
      </c>
      <c r="I751" s="102">
        <v>1391.38</v>
      </c>
      <c r="J751" s="136"/>
      <c r="K751" s="136"/>
    </row>
    <row r="752" spans="1:11" s="26" customFormat="1" ht="35.25" customHeight="1" outlineLevel="1" x14ac:dyDescent="0.2">
      <c r="A752" s="157" t="s">
        <v>1243</v>
      </c>
      <c r="B752" s="97">
        <v>43344</v>
      </c>
      <c r="C752" s="96">
        <v>43439</v>
      </c>
      <c r="D752" s="190">
        <v>10</v>
      </c>
      <c r="E752" s="100">
        <v>1430.65</v>
      </c>
      <c r="F752" s="100"/>
      <c r="G752" s="100"/>
      <c r="H752" s="102">
        <f t="shared" si="55"/>
        <v>1430.65</v>
      </c>
      <c r="I752" s="102">
        <v>1430.65</v>
      </c>
      <c r="J752" s="136"/>
      <c r="K752" s="136"/>
    </row>
    <row r="753" spans="1:11" s="26" customFormat="1" ht="35.25" customHeight="1" outlineLevel="1" x14ac:dyDescent="0.2">
      <c r="A753" s="157" t="s">
        <v>1244</v>
      </c>
      <c r="B753" s="97">
        <v>43282</v>
      </c>
      <c r="C753" s="96">
        <v>43482</v>
      </c>
      <c r="D753" s="190">
        <v>10</v>
      </c>
      <c r="E753" s="100">
        <v>1323.7</v>
      </c>
      <c r="F753" s="100"/>
      <c r="G753" s="100"/>
      <c r="H753" s="102">
        <f t="shared" si="55"/>
        <v>1323.7</v>
      </c>
      <c r="I753" s="102">
        <v>1323.7</v>
      </c>
      <c r="J753" s="136"/>
      <c r="K753" s="136"/>
    </row>
    <row r="754" spans="1:11" s="26" customFormat="1" ht="31.5" customHeight="1" outlineLevel="1" x14ac:dyDescent="0.2">
      <c r="A754" s="157" t="s">
        <v>868</v>
      </c>
      <c r="B754" s="97">
        <v>43221</v>
      </c>
      <c r="C754" s="96">
        <v>43598</v>
      </c>
      <c r="D754" s="190">
        <v>10</v>
      </c>
      <c r="E754" s="100">
        <v>1655.72</v>
      </c>
      <c r="F754" s="100"/>
      <c r="G754" s="100"/>
      <c r="H754" s="102">
        <f t="shared" si="55"/>
        <v>1655.72</v>
      </c>
      <c r="I754" s="102">
        <v>1655.72</v>
      </c>
      <c r="J754" s="136"/>
      <c r="K754" s="136"/>
    </row>
    <row r="755" spans="1:11" s="26" customFormat="1" ht="31.5" customHeight="1" outlineLevel="1" x14ac:dyDescent="0.2">
      <c r="A755" s="157" t="s">
        <v>100</v>
      </c>
      <c r="B755" s="97">
        <v>42856</v>
      </c>
      <c r="C755" s="96">
        <v>43500</v>
      </c>
      <c r="D755" s="190"/>
      <c r="E755" s="100">
        <v>1409.16</v>
      </c>
      <c r="F755" s="100">
        <v>15413.38</v>
      </c>
      <c r="G755" s="100"/>
      <c r="H755" s="102">
        <f t="shared" si="55"/>
        <v>16822.54</v>
      </c>
      <c r="I755" s="102">
        <v>16822.54</v>
      </c>
      <c r="J755" s="136"/>
      <c r="K755" s="136"/>
    </row>
    <row r="756" spans="1:11" s="26" customFormat="1" ht="30" customHeight="1" outlineLevel="1" x14ac:dyDescent="0.2">
      <c r="A756" s="157" t="s">
        <v>1245</v>
      </c>
      <c r="B756" s="97">
        <v>43344</v>
      </c>
      <c r="C756" s="96">
        <v>43484</v>
      </c>
      <c r="D756" s="190">
        <v>10</v>
      </c>
      <c r="E756" s="100">
        <v>2124.2800000000002</v>
      </c>
      <c r="F756" s="100"/>
      <c r="G756" s="100"/>
      <c r="H756" s="102">
        <f t="shared" si="55"/>
        <v>2124.2800000000002</v>
      </c>
      <c r="I756" s="102">
        <v>2124.2800000000002</v>
      </c>
      <c r="J756" s="136"/>
      <c r="K756" s="136"/>
    </row>
    <row r="757" spans="1:11" s="4" customFormat="1" ht="25.5" customHeight="1" outlineLevel="1" x14ac:dyDescent="0.2">
      <c r="A757" s="157" t="s">
        <v>1246</v>
      </c>
      <c r="B757" s="97">
        <v>43282</v>
      </c>
      <c r="C757" s="96">
        <v>43665</v>
      </c>
      <c r="D757" s="190">
        <v>10</v>
      </c>
      <c r="E757" s="100">
        <v>16370.29</v>
      </c>
      <c r="F757" s="100"/>
      <c r="G757" s="100"/>
      <c r="H757" s="102">
        <f t="shared" si="55"/>
        <v>16370.29</v>
      </c>
      <c r="I757" s="102">
        <v>16370.29</v>
      </c>
      <c r="J757" s="136"/>
      <c r="K757" s="136"/>
    </row>
    <row r="758" spans="1:11" s="26" customFormat="1" ht="31.5" customHeight="1" outlineLevel="1" x14ac:dyDescent="0.2">
      <c r="A758" s="157" t="s">
        <v>101</v>
      </c>
      <c r="B758" s="97">
        <v>42979</v>
      </c>
      <c r="C758" s="96">
        <v>43623</v>
      </c>
      <c r="D758" s="190">
        <v>80</v>
      </c>
      <c r="E758" s="100">
        <v>49065.85</v>
      </c>
      <c r="F758" s="100">
        <v>39150.58</v>
      </c>
      <c r="G758" s="100"/>
      <c r="H758" s="102">
        <f t="shared" si="55"/>
        <v>88216.43</v>
      </c>
      <c r="I758" s="102">
        <v>88216.43</v>
      </c>
      <c r="J758" s="136"/>
      <c r="K758" s="136"/>
    </row>
    <row r="759" spans="1:11" s="26" customFormat="1" ht="31.5" customHeight="1" outlineLevel="1" x14ac:dyDescent="0.2">
      <c r="A759" s="157" t="s">
        <v>869</v>
      </c>
      <c r="B759" s="97">
        <v>43252</v>
      </c>
      <c r="C759" s="96">
        <v>43488</v>
      </c>
      <c r="D759" s="190">
        <v>10</v>
      </c>
      <c r="E759" s="100">
        <v>1390.9</v>
      </c>
      <c r="F759" s="100"/>
      <c r="G759" s="100"/>
      <c r="H759" s="102">
        <f t="shared" si="55"/>
        <v>1390.9</v>
      </c>
      <c r="I759" s="102">
        <v>1390.9</v>
      </c>
      <c r="J759" s="136"/>
      <c r="K759" s="136"/>
    </row>
    <row r="760" spans="1:11" s="4" customFormat="1" ht="37.5" customHeight="1" outlineLevel="1" x14ac:dyDescent="0.2">
      <c r="A760" s="157" t="s">
        <v>361</v>
      </c>
      <c r="B760" s="97">
        <v>43132</v>
      </c>
      <c r="C760" s="96">
        <v>43507</v>
      </c>
      <c r="D760" s="190">
        <v>10</v>
      </c>
      <c r="E760" s="100">
        <v>3970.48</v>
      </c>
      <c r="F760" s="100"/>
      <c r="G760" s="100"/>
      <c r="H760" s="102">
        <f t="shared" si="55"/>
        <v>3970.48</v>
      </c>
      <c r="I760" s="102">
        <v>3970.48</v>
      </c>
      <c r="J760" s="136"/>
      <c r="K760" s="136"/>
    </row>
    <row r="761" spans="1:11" s="26" customFormat="1" ht="31.5" customHeight="1" outlineLevel="1" x14ac:dyDescent="0.2">
      <c r="A761" s="157" t="s">
        <v>102</v>
      </c>
      <c r="B761" s="97">
        <v>43132</v>
      </c>
      <c r="C761" s="96">
        <v>43576</v>
      </c>
      <c r="D761" s="190">
        <v>10</v>
      </c>
      <c r="E761" s="100">
        <v>1971.7</v>
      </c>
      <c r="F761" s="100"/>
      <c r="G761" s="100"/>
      <c r="H761" s="102">
        <f t="shared" si="55"/>
        <v>1971.7</v>
      </c>
      <c r="I761" s="102">
        <v>1971.7</v>
      </c>
      <c r="J761" s="136"/>
      <c r="K761" s="136"/>
    </row>
    <row r="762" spans="1:11" s="26" customFormat="1" ht="31.5" customHeight="1" outlineLevel="1" x14ac:dyDescent="0.2">
      <c r="A762" s="157" t="s">
        <v>1247</v>
      </c>
      <c r="B762" s="97">
        <v>43282</v>
      </c>
      <c r="C762" s="96">
        <v>43591</v>
      </c>
      <c r="D762" s="190">
        <v>10</v>
      </c>
      <c r="E762" s="100">
        <v>5779.41</v>
      </c>
      <c r="F762" s="100"/>
      <c r="G762" s="100"/>
      <c r="H762" s="102">
        <f t="shared" si="55"/>
        <v>5779.41</v>
      </c>
      <c r="I762" s="102">
        <v>5779.41</v>
      </c>
      <c r="J762" s="136"/>
      <c r="K762" s="136"/>
    </row>
    <row r="763" spans="1:11" s="26" customFormat="1" ht="31.5" customHeight="1" outlineLevel="1" x14ac:dyDescent="0.2">
      <c r="A763" s="157" t="s">
        <v>85</v>
      </c>
      <c r="B763" s="97">
        <v>43132</v>
      </c>
      <c r="C763" s="96">
        <v>43405</v>
      </c>
      <c r="D763" s="190">
        <v>10</v>
      </c>
      <c r="E763" s="100">
        <v>1992.91</v>
      </c>
      <c r="F763" s="100"/>
      <c r="G763" s="100"/>
      <c r="H763" s="102">
        <f t="shared" si="55"/>
        <v>1992.91</v>
      </c>
      <c r="I763" s="102">
        <v>1992.91</v>
      </c>
      <c r="J763" s="136"/>
      <c r="K763" s="136"/>
    </row>
    <row r="764" spans="1:11" s="26" customFormat="1" ht="31.5" customHeight="1" outlineLevel="1" x14ac:dyDescent="0.2">
      <c r="A764" s="157" t="s">
        <v>1248</v>
      </c>
      <c r="B764" s="97">
        <v>43282</v>
      </c>
      <c r="C764" s="96">
        <v>43521</v>
      </c>
      <c r="D764" s="190">
        <v>10</v>
      </c>
      <c r="E764" s="100">
        <v>1323.7</v>
      </c>
      <c r="F764" s="100"/>
      <c r="G764" s="100"/>
      <c r="H764" s="102">
        <f t="shared" si="55"/>
        <v>1323.7</v>
      </c>
      <c r="I764" s="102">
        <v>1323.7</v>
      </c>
      <c r="J764" s="136"/>
      <c r="K764" s="136"/>
    </row>
    <row r="765" spans="1:11" s="26" customFormat="1" ht="31.5" customHeight="1" outlineLevel="1" x14ac:dyDescent="0.2">
      <c r="A765" s="157" t="s">
        <v>870</v>
      </c>
      <c r="B765" s="97">
        <v>43252</v>
      </c>
      <c r="C765" s="96">
        <v>43431</v>
      </c>
      <c r="D765" s="190">
        <v>10</v>
      </c>
      <c r="E765" s="100">
        <v>1390.9</v>
      </c>
      <c r="F765" s="100"/>
      <c r="G765" s="100"/>
      <c r="H765" s="102">
        <f t="shared" si="55"/>
        <v>1390.9</v>
      </c>
      <c r="I765" s="102">
        <v>1390.9</v>
      </c>
      <c r="J765" s="136"/>
      <c r="K765" s="136"/>
    </row>
    <row r="766" spans="1:11" s="26" customFormat="1" ht="31.5" customHeight="1" outlineLevel="1" x14ac:dyDescent="0.2">
      <c r="A766" s="157" t="s">
        <v>362</v>
      </c>
      <c r="B766" s="97">
        <v>43132</v>
      </c>
      <c r="C766" s="96">
        <v>43399</v>
      </c>
      <c r="D766" s="190">
        <v>10</v>
      </c>
      <c r="E766" s="100">
        <v>1992.63</v>
      </c>
      <c r="F766" s="100"/>
      <c r="G766" s="100"/>
      <c r="H766" s="102">
        <f t="shared" si="55"/>
        <v>1992.63</v>
      </c>
      <c r="I766" s="102">
        <v>1992.63</v>
      </c>
      <c r="J766" s="136"/>
      <c r="K766" s="136"/>
    </row>
    <row r="767" spans="1:11" s="26" customFormat="1" ht="31.5" customHeight="1" outlineLevel="1" x14ac:dyDescent="0.2">
      <c r="A767" s="157" t="s">
        <v>363</v>
      </c>
      <c r="B767" s="97">
        <v>43252</v>
      </c>
      <c r="C767" s="96">
        <v>43431</v>
      </c>
      <c r="D767" s="190">
        <v>10</v>
      </c>
      <c r="E767" s="100">
        <v>4212.45</v>
      </c>
      <c r="F767" s="100"/>
      <c r="G767" s="100"/>
      <c r="H767" s="102">
        <f t="shared" ref="H767:H775" si="56">F767+E767+G767</f>
        <v>4212.45</v>
      </c>
      <c r="I767" s="102">
        <v>4212.45</v>
      </c>
      <c r="J767" s="136"/>
      <c r="K767" s="136"/>
    </row>
    <row r="768" spans="1:11" s="26" customFormat="1" ht="31.5" customHeight="1" outlineLevel="1" x14ac:dyDescent="0.2">
      <c r="A768" s="157" t="s">
        <v>871</v>
      </c>
      <c r="B768" s="97">
        <v>43252</v>
      </c>
      <c r="C768" s="96">
        <v>43510</v>
      </c>
      <c r="D768" s="190">
        <v>10</v>
      </c>
      <c r="E768" s="100">
        <v>1457.92</v>
      </c>
      <c r="F768" s="100"/>
      <c r="G768" s="100"/>
      <c r="H768" s="102">
        <f t="shared" si="56"/>
        <v>1457.92</v>
      </c>
      <c r="I768" s="102">
        <v>1457.92</v>
      </c>
      <c r="J768" s="136"/>
      <c r="K768" s="136"/>
    </row>
    <row r="769" spans="1:11" s="26" customFormat="1" ht="31.5" customHeight="1" outlineLevel="1" x14ac:dyDescent="0.2">
      <c r="A769" s="157" t="s">
        <v>1249</v>
      </c>
      <c r="B769" s="97">
        <v>43313</v>
      </c>
      <c r="C769" s="96">
        <v>43549</v>
      </c>
      <c r="D769" s="190">
        <v>10</v>
      </c>
      <c r="E769" s="100">
        <v>1593.55</v>
      </c>
      <c r="F769" s="100"/>
      <c r="G769" s="100"/>
      <c r="H769" s="102">
        <f t="shared" si="56"/>
        <v>1593.55</v>
      </c>
      <c r="I769" s="102">
        <v>1593.55</v>
      </c>
      <c r="J769" s="136"/>
      <c r="K769" s="136"/>
    </row>
    <row r="770" spans="1:11" s="26" customFormat="1" ht="31.5" customHeight="1" outlineLevel="1" x14ac:dyDescent="0.2">
      <c r="A770" s="157" t="s">
        <v>872</v>
      </c>
      <c r="B770" s="97">
        <v>43252</v>
      </c>
      <c r="C770" s="96">
        <v>43481</v>
      </c>
      <c r="D770" s="190">
        <v>10</v>
      </c>
      <c r="E770" s="100">
        <v>1457.92</v>
      </c>
      <c r="F770" s="100"/>
      <c r="G770" s="100"/>
      <c r="H770" s="102">
        <f t="shared" si="56"/>
        <v>1457.92</v>
      </c>
      <c r="I770" s="102">
        <v>1457.92</v>
      </c>
      <c r="J770" s="136"/>
      <c r="K770" s="136"/>
    </row>
    <row r="771" spans="1:11" s="26" customFormat="1" ht="48.75" customHeight="1" outlineLevel="1" x14ac:dyDescent="0.2">
      <c r="A771" s="157" t="s">
        <v>364</v>
      </c>
      <c r="B771" s="97">
        <v>43101</v>
      </c>
      <c r="C771" s="96">
        <v>43628</v>
      </c>
      <c r="D771" s="190">
        <v>10</v>
      </c>
      <c r="E771" s="100">
        <v>2361.31</v>
      </c>
      <c r="F771" s="100"/>
      <c r="G771" s="100"/>
      <c r="H771" s="102">
        <f t="shared" si="56"/>
        <v>2361.31</v>
      </c>
      <c r="I771" s="102">
        <v>2361.31</v>
      </c>
      <c r="J771" s="136"/>
      <c r="K771" s="136"/>
    </row>
    <row r="772" spans="1:11" s="26" customFormat="1" ht="48" customHeight="1" outlineLevel="1" x14ac:dyDescent="0.2">
      <c r="A772" s="157" t="s">
        <v>365</v>
      </c>
      <c r="B772" s="97">
        <v>43160</v>
      </c>
      <c r="C772" s="96">
        <v>44031</v>
      </c>
      <c r="D772" s="190">
        <v>10</v>
      </c>
      <c r="E772" s="100">
        <v>1733.63</v>
      </c>
      <c r="F772" s="100"/>
      <c r="G772" s="100"/>
      <c r="H772" s="102">
        <f t="shared" si="56"/>
        <v>1733.63</v>
      </c>
      <c r="I772" s="102">
        <v>1733.63</v>
      </c>
      <c r="J772" s="136"/>
      <c r="K772" s="136"/>
    </row>
    <row r="773" spans="1:11" s="26" customFormat="1" ht="31.5" customHeight="1" outlineLevel="1" x14ac:dyDescent="0.2">
      <c r="A773" s="157" t="s">
        <v>873</v>
      </c>
      <c r="B773" s="97">
        <v>43252</v>
      </c>
      <c r="C773" s="96">
        <v>43691</v>
      </c>
      <c r="D773" s="190">
        <v>10</v>
      </c>
      <c r="E773" s="100">
        <v>1457.92</v>
      </c>
      <c r="F773" s="100"/>
      <c r="G773" s="100"/>
      <c r="H773" s="102">
        <f t="shared" si="56"/>
        <v>1457.92</v>
      </c>
      <c r="I773" s="102">
        <v>1457.92</v>
      </c>
      <c r="J773" s="136"/>
      <c r="K773" s="136"/>
    </row>
    <row r="774" spans="1:11" s="26" customFormat="1" ht="43.5" customHeight="1" outlineLevel="1" x14ac:dyDescent="0.2">
      <c r="A774" s="157" t="s">
        <v>241</v>
      </c>
      <c r="B774" s="97">
        <v>43040</v>
      </c>
      <c r="C774" s="96">
        <v>43628</v>
      </c>
      <c r="D774" s="190">
        <v>40</v>
      </c>
      <c r="E774" s="100">
        <v>37033.49</v>
      </c>
      <c r="F774" s="100">
        <v>5246.61</v>
      </c>
      <c r="G774" s="100"/>
      <c r="H774" s="102">
        <f t="shared" si="56"/>
        <v>42280.1</v>
      </c>
      <c r="I774" s="102">
        <v>42280.1</v>
      </c>
      <c r="J774" s="136"/>
      <c r="K774" s="136"/>
    </row>
    <row r="775" spans="1:11" s="26" customFormat="1" ht="55.5" customHeight="1" outlineLevel="1" x14ac:dyDescent="0.2">
      <c r="A775" s="157" t="s">
        <v>242</v>
      </c>
      <c r="B775" s="97">
        <v>43252</v>
      </c>
      <c r="C775" s="96">
        <v>43475</v>
      </c>
      <c r="D775" s="190">
        <v>10</v>
      </c>
      <c r="E775" s="100">
        <v>1048.54</v>
      </c>
      <c r="F775" s="100"/>
      <c r="G775" s="100"/>
      <c r="H775" s="102">
        <f t="shared" si="56"/>
        <v>1048.54</v>
      </c>
      <c r="I775" s="102">
        <v>1048.54</v>
      </c>
      <c r="J775" s="136"/>
      <c r="K775" s="136"/>
    </row>
    <row r="776" spans="1:11" s="26" customFormat="1" ht="31.5" customHeight="1" x14ac:dyDescent="0.2">
      <c r="A776" s="50"/>
      <c r="B776" s="89"/>
      <c r="C776" s="89"/>
      <c r="D776" s="130"/>
      <c r="E776" s="58">
        <f>SUM(E703:E775)</f>
        <v>403304.17999999993</v>
      </c>
      <c r="F776" s="58">
        <f>SUM(F703:F775)</f>
        <v>192895.39</v>
      </c>
      <c r="G776" s="58">
        <f>SUM(G703:G775)</f>
        <v>0</v>
      </c>
      <c r="H776" s="48">
        <f>SUM(H703:H775)</f>
        <v>596199.57000000007</v>
      </c>
      <c r="I776" s="48">
        <f>SUM(I703:I775)</f>
        <v>596199.57000000007</v>
      </c>
      <c r="J776" s="71"/>
      <c r="K776" s="115"/>
    </row>
    <row r="777" spans="1:11" s="26" customFormat="1" ht="31.5" customHeight="1" x14ac:dyDescent="0.2">
      <c r="A777" s="40" t="s">
        <v>367</v>
      </c>
      <c r="B777" s="90"/>
      <c r="C777" s="89"/>
      <c r="D777" s="130"/>
      <c r="E777" s="14"/>
      <c r="F777" s="14"/>
      <c r="G777" s="14"/>
      <c r="H777" s="48"/>
      <c r="I777" s="43"/>
      <c r="J777" s="18"/>
      <c r="K777" s="29"/>
    </row>
    <row r="778" spans="1:11" s="26" customFormat="1" ht="31.5" customHeight="1" outlineLevel="1" x14ac:dyDescent="0.2">
      <c r="A778" s="118" t="s">
        <v>289</v>
      </c>
      <c r="B778" s="107">
        <v>42846</v>
      </c>
      <c r="C778" s="107">
        <v>43517</v>
      </c>
      <c r="D778" s="158">
        <v>10</v>
      </c>
      <c r="E778" s="98">
        <v>9240</v>
      </c>
      <c r="F778" s="43"/>
      <c r="G778" s="43"/>
      <c r="H778" s="102">
        <v>9240</v>
      </c>
      <c r="I778" s="43">
        <f t="shared" ref="I778:I787" si="57">H778</f>
        <v>9240</v>
      </c>
      <c r="J778" s="18"/>
      <c r="K778" s="29"/>
    </row>
    <row r="779" spans="1:11" s="26" customFormat="1" ht="31.5" customHeight="1" outlineLevel="1" x14ac:dyDescent="0.2">
      <c r="A779" s="118" t="s">
        <v>290</v>
      </c>
      <c r="B779" s="107">
        <v>42940</v>
      </c>
      <c r="C779" s="107">
        <v>43501</v>
      </c>
      <c r="D779" s="158">
        <v>80</v>
      </c>
      <c r="E779" s="122">
        <v>6010.51</v>
      </c>
      <c r="F779" s="122">
        <v>23015.67</v>
      </c>
      <c r="G779" s="43"/>
      <c r="H779" s="102">
        <v>29026.18</v>
      </c>
      <c r="I779" s="43">
        <f t="shared" si="57"/>
        <v>29026.18</v>
      </c>
      <c r="J779" s="18"/>
      <c r="K779" s="29"/>
    </row>
    <row r="780" spans="1:11" s="26" customFormat="1" ht="31.5" customHeight="1" outlineLevel="1" x14ac:dyDescent="0.2">
      <c r="A780" s="118" t="s">
        <v>1602</v>
      </c>
      <c r="B780" s="97">
        <v>43306</v>
      </c>
      <c r="C780" s="107">
        <v>43530</v>
      </c>
      <c r="D780" s="159">
        <v>10</v>
      </c>
      <c r="E780" s="123">
        <v>14328</v>
      </c>
      <c r="F780" s="98"/>
      <c r="G780" s="123"/>
      <c r="H780" s="102">
        <v>14328</v>
      </c>
      <c r="I780" s="43">
        <f t="shared" si="57"/>
        <v>14328</v>
      </c>
      <c r="J780" s="18"/>
      <c r="K780" s="29"/>
    </row>
    <row r="781" spans="1:11" s="26" customFormat="1" ht="25.5" outlineLevel="1" x14ac:dyDescent="0.2">
      <c r="A781" s="118" t="s">
        <v>1603</v>
      </c>
      <c r="B781" s="97">
        <v>43339</v>
      </c>
      <c r="C781" s="107">
        <v>43594</v>
      </c>
      <c r="D781" s="159">
        <v>10</v>
      </c>
      <c r="E781" s="123">
        <v>10674</v>
      </c>
      <c r="F781" s="98"/>
      <c r="G781" s="123"/>
      <c r="H781" s="102">
        <v>10674</v>
      </c>
      <c r="I781" s="43">
        <f t="shared" si="57"/>
        <v>10674</v>
      </c>
      <c r="J781" s="119"/>
      <c r="K781" s="120"/>
    </row>
    <row r="782" spans="1:11" s="26" customFormat="1" ht="25.5" outlineLevel="1" x14ac:dyDescent="0.2">
      <c r="A782" s="118" t="s">
        <v>366</v>
      </c>
      <c r="B782" s="97">
        <v>43174</v>
      </c>
      <c r="C782" s="107">
        <v>43431</v>
      </c>
      <c r="D782" s="159">
        <v>10</v>
      </c>
      <c r="E782" s="123">
        <v>10223</v>
      </c>
      <c r="F782" s="98"/>
      <c r="G782" s="123"/>
      <c r="H782" s="102">
        <v>10223</v>
      </c>
      <c r="I782" s="43">
        <f t="shared" si="57"/>
        <v>10223</v>
      </c>
      <c r="J782" s="119"/>
      <c r="K782" s="120"/>
    </row>
    <row r="783" spans="1:11" s="26" customFormat="1" ht="39" customHeight="1" outlineLevel="1" x14ac:dyDescent="0.2">
      <c r="A783" s="118" t="s">
        <v>874</v>
      </c>
      <c r="B783" s="97">
        <v>43157</v>
      </c>
      <c r="C783" s="107">
        <v>43635</v>
      </c>
      <c r="D783" s="159">
        <v>10</v>
      </c>
      <c r="E783" s="123">
        <v>10661</v>
      </c>
      <c r="F783" s="98"/>
      <c r="G783" s="123"/>
      <c r="H783" s="102">
        <v>10661</v>
      </c>
      <c r="I783" s="43">
        <f t="shared" si="57"/>
        <v>10661</v>
      </c>
      <c r="J783" s="18"/>
      <c r="K783" s="29"/>
    </row>
    <row r="784" spans="1:11" s="26" customFormat="1" ht="36" customHeight="1" outlineLevel="1" x14ac:dyDescent="0.2">
      <c r="A784" s="118" t="s">
        <v>1604</v>
      </c>
      <c r="B784" s="97">
        <v>43319</v>
      </c>
      <c r="C784" s="107">
        <v>43483</v>
      </c>
      <c r="D784" s="159">
        <v>10</v>
      </c>
      <c r="E784" s="123">
        <v>8837</v>
      </c>
      <c r="F784" s="98"/>
      <c r="G784" s="123"/>
      <c r="H784" s="102">
        <v>8837</v>
      </c>
      <c r="I784" s="43">
        <f t="shared" si="57"/>
        <v>8837</v>
      </c>
      <c r="J784" s="147"/>
      <c r="K784" s="148"/>
    </row>
    <row r="785" spans="1:11" s="26" customFormat="1" ht="30.75" customHeight="1" outlineLevel="1" x14ac:dyDescent="0.2">
      <c r="A785" s="118" t="s">
        <v>1605</v>
      </c>
      <c r="B785" s="97">
        <v>43319</v>
      </c>
      <c r="C785" s="107">
        <v>43525</v>
      </c>
      <c r="D785" s="159">
        <v>10</v>
      </c>
      <c r="E785" s="123">
        <v>9371</v>
      </c>
      <c r="F785" s="98"/>
      <c r="G785" s="123"/>
      <c r="H785" s="102">
        <v>9371</v>
      </c>
      <c r="I785" s="43">
        <f t="shared" si="57"/>
        <v>9371</v>
      </c>
      <c r="J785" s="18"/>
      <c r="K785" s="29"/>
    </row>
    <row r="786" spans="1:11" s="26" customFormat="1" ht="30.75" customHeight="1" outlineLevel="1" x14ac:dyDescent="0.2">
      <c r="A786" s="118" t="s">
        <v>1606</v>
      </c>
      <c r="B786" s="97">
        <v>43371</v>
      </c>
      <c r="C786" s="107">
        <v>43561</v>
      </c>
      <c r="D786" s="159">
        <v>10</v>
      </c>
      <c r="E786" s="123">
        <v>21171</v>
      </c>
      <c r="F786" s="98"/>
      <c r="G786" s="123"/>
      <c r="H786" s="102">
        <v>21171</v>
      </c>
      <c r="I786" s="43">
        <f t="shared" si="57"/>
        <v>21171</v>
      </c>
      <c r="J786" s="18"/>
      <c r="K786" s="29"/>
    </row>
    <row r="787" spans="1:11" s="4" customFormat="1" ht="26.25" customHeight="1" outlineLevel="1" x14ac:dyDescent="0.2">
      <c r="A787" s="118" t="s">
        <v>1607</v>
      </c>
      <c r="B787" s="107">
        <v>43046</v>
      </c>
      <c r="C787" s="107">
        <v>43590</v>
      </c>
      <c r="D787" s="159">
        <v>10</v>
      </c>
      <c r="E787" s="123">
        <v>45000</v>
      </c>
      <c r="F787" s="123"/>
      <c r="G787" s="123"/>
      <c r="H787" s="102">
        <v>45000</v>
      </c>
      <c r="I787" s="43">
        <f t="shared" si="57"/>
        <v>45000</v>
      </c>
      <c r="J787" s="18"/>
      <c r="K787" s="29"/>
    </row>
    <row r="788" spans="1:11" s="26" customFormat="1" ht="30.75" customHeight="1" x14ac:dyDescent="0.2">
      <c r="A788" s="31"/>
      <c r="B788" s="89"/>
      <c r="C788" s="89"/>
      <c r="D788" s="130"/>
      <c r="E788" s="58">
        <f>SUM(E778:E787)</f>
        <v>145515.51</v>
      </c>
      <c r="F788" s="58">
        <f t="shared" ref="F788:G788" si="58">SUM(F778:F787)</f>
        <v>23015.67</v>
      </c>
      <c r="G788" s="58">
        <f t="shared" si="58"/>
        <v>0</v>
      </c>
      <c r="H788" s="48">
        <f>SUM(H778:H787)</f>
        <v>168531.18</v>
      </c>
      <c r="I788" s="48">
        <f>SUM(I778:I787)</f>
        <v>168531.18</v>
      </c>
      <c r="J788" s="46"/>
      <c r="K788" s="29"/>
    </row>
    <row r="789" spans="1:11" s="4" customFormat="1" ht="26.25" customHeight="1" x14ac:dyDescent="0.2">
      <c r="A789" s="40" t="s">
        <v>369</v>
      </c>
      <c r="B789" s="89"/>
      <c r="C789" s="90"/>
      <c r="D789" s="187"/>
      <c r="E789" s="14"/>
      <c r="F789" s="60"/>
      <c r="G789" s="59"/>
      <c r="H789" s="33"/>
      <c r="I789" s="43"/>
      <c r="J789" s="18"/>
      <c r="K789" s="14"/>
    </row>
    <row r="790" spans="1:11" ht="27.75" customHeight="1" outlineLevel="1" x14ac:dyDescent="0.2">
      <c r="A790" s="21" t="s">
        <v>368</v>
      </c>
      <c r="B790" s="107">
        <v>43131</v>
      </c>
      <c r="C790" s="108">
        <v>43403</v>
      </c>
      <c r="D790" s="159">
        <v>10</v>
      </c>
      <c r="E790" s="123"/>
      <c r="F790" s="123">
        <v>5054.74</v>
      </c>
      <c r="G790" s="123"/>
      <c r="H790" s="48">
        <f t="shared" ref="H790:H804" si="59">F790+E790+G790</f>
        <v>5054.74</v>
      </c>
      <c r="I790" s="43">
        <f>H790</f>
        <v>5054.74</v>
      </c>
      <c r="J790" s="18"/>
      <c r="K790" s="29"/>
    </row>
    <row r="791" spans="1:11" outlineLevel="1" x14ac:dyDescent="0.2">
      <c r="A791" s="21" t="s">
        <v>875</v>
      </c>
      <c r="B791" s="107">
        <v>43281</v>
      </c>
      <c r="C791" s="108">
        <v>43488</v>
      </c>
      <c r="D791" s="159">
        <v>90</v>
      </c>
      <c r="E791" s="123">
        <v>4474</v>
      </c>
      <c r="F791" s="123">
        <v>31498.75</v>
      </c>
      <c r="G791" s="123"/>
      <c r="H791" s="48">
        <f t="shared" si="59"/>
        <v>35972.75</v>
      </c>
      <c r="I791" s="43">
        <f t="shared" ref="I791:I804" si="60">H791</f>
        <v>35972.75</v>
      </c>
      <c r="J791" s="18"/>
      <c r="K791" s="29"/>
    </row>
    <row r="792" spans="1:11" outlineLevel="1" x14ac:dyDescent="0.2">
      <c r="A792" s="21" t="s">
        <v>876</v>
      </c>
      <c r="B792" s="107">
        <v>43251</v>
      </c>
      <c r="C792" s="108">
        <v>43405</v>
      </c>
      <c r="D792" s="159">
        <v>10</v>
      </c>
      <c r="E792" s="123"/>
      <c r="F792" s="123">
        <v>2862.33</v>
      </c>
      <c r="G792" s="123"/>
      <c r="H792" s="48">
        <f t="shared" si="59"/>
        <v>2862.33</v>
      </c>
      <c r="I792" s="43">
        <f t="shared" si="60"/>
        <v>2862.33</v>
      </c>
      <c r="J792" s="18"/>
      <c r="K792" s="29"/>
    </row>
    <row r="793" spans="1:11" ht="24" outlineLevel="1" x14ac:dyDescent="0.2">
      <c r="A793" s="21" t="s">
        <v>243</v>
      </c>
      <c r="B793" s="107">
        <v>43009</v>
      </c>
      <c r="C793" s="108">
        <v>43525</v>
      </c>
      <c r="D793" s="159">
        <v>88</v>
      </c>
      <c r="E793" s="123">
        <v>27025.23</v>
      </c>
      <c r="F793" s="123">
        <v>131782.76999999999</v>
      </c>
      <c r="G793" s="123"/>
      <c r="H793" s="48">
        <f t="shared" si="59"/>
        <v>158808</v>
      </c>
      <c r="I793" s="43">
        <f t="shared" si="60"/>
        <v>158808</v>
      </c>
      <c r="J793" s="18"/>
      <c r="K793" s="29"/>
    </row>
    <row r="794" spans="1:11" ht="24" outlineLevel="1" x14ac:dyDescent="0.2">
      <c r="A794" s="21" t="s">
        <v>244</v>
      </c>
      <c r="B794" s="107">
        <v>42855</v>
      </c>
      <c r="C794" s="108">
        <v>43385</v>
      </c>
      <c r="D794" s="159">
        <v>88</v>
      </c>
      <c r="E794" s="123">
        <v>4661.21</v>
      </c>
      <c r="F794" s="123">
        <v>25394.75</v>
      </c>
      <c r="G794" s="123"/>
      <c r="H794" s="48">
        <f t="shared" si="59"/>
        <v>30055.96</v>
      </c>
      <c r="I794" s="43">
        <f t="shared" si="60"/>
        <v>30055.96</v>
      </c>
      <c r="J794" s="18"/>
      <c r="K794" s="29"/>
    </row>
    <row r="795" spans="1:11" outlineLevel="1" x14ac:dyDescent="0.2">
      <c r="A795" s="21" t="s">
        <v>245</v>
      </c>
      <c r="B795" s="107">
        <v>42853</v>
      </c>
      <c r="C795" s="108">
        <v>43474</v>
      </c>
      <c r="D795" s="159">
        <v>10</v>
      </c>
      <c r="E795" s="123"/>
      <c r="F795" s="123"/>
      <c r="G795" s="123">
        <v>20000</v>
      </c>
      <c r="H795" s="48">
        <f t="shared" si="59"/>
        <v>20000</v>
      </c>
      <c r="I795" s="43">
        <f t="shared" si="60"/>
        <v>20000</v>
      </c>
      <c r="J795" s="18"/>
      <c r="K795" s="29"/>
    </row>
    <row r="796" spans="1:11" outlineLevel="1" x14ac:dyDescent="0.2">
      <c r="A796" s="21" t="s">
        <v>246</v>
      </c>
      <c r="B796" s="107">
        <v>42986</v>
      </c>
      <c r="C796" s="108">
        <v>43485</v>
      </c>
      <c r="D796" s="159">
        <v>50</v>
      </c>
      <c r="E796" s="123"/>
      <c r="F796" s="123"/>
      <c r="G796" s="123">
        <v>82871.19</v>
      </c>
      <c r="H796" s="48">
        <f t="shared" si="59"/>
        <v>82871.19</v>
      </c>
      <c r="I796" s="43">
        <f t="shared" si="60"/>
        <v>82871.19</v>
      </c>
      <c r="J796" s="18"/>
      <c r="K796" s="29"/>
    </row>
    <row r="797" spans="1:11" outlineLevel="1" x14ac:dyDescent="0.2">
      <c r="A797" s="21" t="s">
        <v>1264</v>
      </c>
      <c r="B797" s="107">
        <v>43343</v>
      </c>
      <c r="C797" s="108">
        <v>43483</v>
      </c>
      <c r="D797" s="159">
        <v>50</v>
      </c>
      <c r="E797" s="123">
        <v>9419.58</v>
      </c>
      <c r="F797" s="123">
        <v>7643.34</v>
      </c>
      <c r="G797" s="123"/>
      <c r="H797" s="48">
        <f t="shared" si="59"/>
        <v>17062.919999999998</v>
      </c>
      <c r="I797" s="43">
        <f t="shared" si="60"/>
        <v>17062.919999999998</v>
      </c>
      <c r="J797" s="18"/>
      <c r="K797" s="29"/>
    </row>
    <row r="798" spans="1:11" ht="24" outlineLevel="1" x14ac:dyDescent="0.2">
      <c r="A798" s="21" t="s">
        <v>1265</v>
      </c>
      <c r="B798" s="107">
        <v>43343</v>
      </c>
      <c r="C798" s="108">
        <v>43438</v>
      </c>
      <c r="D798" s="159">
        <v>90</v>
      </c>
      <c r="E798" s="123">
        <v>4474.3</v>
      </c>
      <c r="F798" s="123">
        <v>23316.04</v>
      </c>
      <c r="G798" s="123"/>
      <c r="H798" s="48">
        <f t="shared" si="59"/>
        <v>27790.34</v>
      </c>
      <c r="I798" s="43">
        <f t="shared" si="60"/>
        <v>27790.34</v>
      </c>
      <c r="J798" s="18"/>
      <c r="K798" s="29"/>
    </row>
    <row r="799" spans="1:11" outlineLevel="1" x14ac:dyDescent="0.2">
      <c r="A799" s="21" t="s">
        <v>1266</v>
      </c>
      <c r="B799" s="107">
        <v>43372</v>
      </c>
      <c r="C799" s="108">
        <v>43641</v>
      </c>
      <c r="D799" s="159">
        <v>10</v>
      </c>
      <c r="E799" s="123"/>
      <c r="F799" s="123">
        <v>6067.31</v>
      </c>
      <c r="G799" s="123"/>
      <c r="H799" s="48">
        <f t="shared" si="59"/>
        <v>6067.31</v>
      </c>
      <c r="I799" s="43">
        <f t="shared" si="60"/>
        <v>6067.31</v>
      </c>
      <c r="J799" s="18"/>
      <c r="K799" s="29"/>
    </row>
    <row r="800" spans="1:11" outlineLevel="1" x14ac:dyDescent="0.2">
      <c r="A800" s="21" t="s">
        <v>877</v>
      </c>
      <c r="B800" s="107">
        <v>43281</v>
      </c>
      <c r="C800" s="108">
        <v>43502</v>
      </c>
      <c r="D800" s="159">
        <v>80</v>
      </c>
      <c r="E800" s="123">
        <v>5965.73</v>
      </c>
      <c r="F800" s="123">
        <v>44546.02</v>
      </c>
      <c r="G800" s="123"/>
      <c r="H800" s="48">
        <f t="shared" si="59"/>
        <v>50511.75</v>
      </c>
      <c r="I800" s="43">
        <f t="shared" si="60"/>
        <v>50511.75</v>
      </c>
      <c r="J800" s="18"/>
      <c r="K800" s="29"/>
    </row>
    <row r="801" spans="1:11" ht="24" outlineLevel="1" x14ac:dyDescent="0.2">
      <c r="A801" s="21" t="s">
        <v>1267</v>
      </c>
      <c r="B801" s="107">
        <v>43372</v>
      </c>
      <c r="C801" s="108">
        <v>43593</v>
      </c>
      <c r="D801" s="159">
        <v>10</v>
      </c>
      <c r="E801" s="123"/>
      <c r="F801" s="123">
        <v>5013.92</v>
      </c>
      <c r="G801" s="123"/>
      <c r="H801" s="48">
        <f t="shared" si="59"/>
        <v>5013.92</v>
      </c>
      <c r="I801" s="43">
        <f t="shared" si="60"/>
        <v>5013.92</v>
      </c>
      <c r="J801" s="18"/>
      <c r="K801" s="29"/>
    </row>
    <row r="802" spans="1:11" outlineLevel="1" x14ac:dyDescent="0.2">
      <c r="A802" s="21" t="s">
        <v>1268</v>
      </c>
      <c r="B802" s="107">
        <v>43343</v>
      </c>
      <c r="C802" s="108">
        <v>43570</v>
      </c>
      <c r="D802" s="159">
        <v>90</v>
      </c>
      <c r="E802" s="123">
        <v>4474.3</v>
      </c>
      <c r="F802" s="123">
        <v>24565.05</v>
      </c>
      <c r="G802" s="123"/>
      <c r="H802" s="48">
        <f t="shared" si="59"/>
        <v>29039.35</v>
      </c>
      <c r="I802" s="43">
        <f t="shared" si="60"/>
        <v>29039.35</v>
      </c>
      <c r="J802" s="18"/>
      <c r="K802" s="29"/>
    </row>
    <row r="803" spans="1:11" outlineLevel="1" x14ac:dyDescent="0.2">
      <c r="A803" s="21" t="s">
        <v>1269</v>
      </c>
      <c r="B803" s="107">
        <v>43372</v>
      </c>
      <c r="C803" s="108">
        <v>43580</v>
      </c>
      <c r="D803" s="159">
        <v>10</v>
      </c>
      <c r="E803" s="123"/>
      <c r="F803" s="123">
        <v>3577.38</v>
      </c>
      <c r="G803" s="123"/>
      <c r="H803" s="48">
        <f t="shared" si="59"/>
        <v>3577.38</v>
      </c>
      <c r="I803" s="43">
        <f t="shared" si="60"/>
        <v>3577.38</v>
      </c>
      <c r="J803" s="18"/>
      <c r="K803" s="29"/>
    </row>
    <row r="804" spans="1:11" outlineLevel="1" x14ac:dyDescent="0.2">
      <c r="A804" s="21" t="s">
        <v>1270</v>
      </c>
      <c r="B804" s="107">
        <v>43372</v>
      </c>
      <c r="C804" s="108">
        <v>43545</v>
      </c>
      <c r="D804" s="159">
        <v>10</v>
      </c>
      <c r="E804" s="123"/>
      <c r="F804" s="123">
        <v>7427.5</v>
      </c>
      <c r="G804" s="123"/>
      <c r="H804" s="48">
        <f t="shared" si="59"/>
        <v>7427.5</v>
      </c>
      <c r="I804" s="43">
        <f t="shared" si="60"/>
        <v>7427.5</v>
      </c>
      <c r="J804" s="18"/>
      <c r="K804" s="29"/>
    </row>
    <row r="805" spans="1:11" x14ac:dyDescent="0.2">
      <c r="A805" s="19"/>
      <c r="B805" s="108"/>
      <c r="C805" s="108"/>
      <c r="D805" s="159"/>
      <c r="E805" s="48">
        <f>SUM(E790:E804)</f>
        <v>60494.350000000006</v>
      </c>
      <c r="F805" s="48">
        <f t="shared" ref="F805:G805" si="61">SUM(F790:F804)</f>
        <v>318749.89999999997</v>
      </c>
      <c r="G805" s="48">
        <f t="shared" si="61"/>
        <v>102871.19</v>
      </c>
      <c r="H805" s="48">
        <f>SUM(H790:H804)</f>
        <v>482115.43999999994</v>
      </c>
      <c r="I805" s="48">
        <f>SUM(I790:I804)</f>
        <v>482115.43999999994</v>
      </c>
      <c r="J805" s="18"/>
      <c r="K805" s="29"/>
    </row>
    <row r="806" spans="1:11" x14ac:dyDescent="0.2">
      <c r="A806" s="19"/>
      <c r="B806" s="89"/>
      <c r="C806" s="89"/>
      <c r="D806" s="130"/>
      <c r="E806" s="58"/>
      <c r="F806" s="58"/>
      <c r="G806" s="58"/>
      <c r="H806" s="48"/>
      <c r="I806" s="48"/>
      <c r="J806" s="46"/>
      <c r="K806" s="46"/>
    </row>
    <row r="807" spans="1:11" s="26" customFormat="1" ht="24" x14ac:dyDescent="0.2">
      <c r="A807" s="40" t="s">
        <v>410</v>
      </c>
      <c r="B807" s="89"/>
      <c r="C807" s="90"/>
      <c r="D807" s="187"/>
      <c r="E807" s="61"/>
      <c r="F807" s="61"/>
      <c r="G807" s="14"/>
      <c r="H807" s="33"/>
      <c r="I807" s="43"/>
      <c r="J807" s="14"/>
      <c r="K807" s="39"/>
    </row>
    <row r="808" spans="1:11" s="26" customFormat="1" ht="27.75" customHeight="1" outlineLevel="1" x14ac:dyDescent="0.2">
      <c r="A808" s="42" t="s">
        <v>158</v>
      </c>
      <c r="B808" s="97">
        <v>42754</v>
      </c>
      <c r="C808" s="97">
        <v>43484</v>
      </c>
      <c r="D808" s="141">
        <v>60</v>
      </c>
      <c r="E808" s="180"/>
      <c r="F808" s="100">
        <v>9490.2099999999991</v>
      </c>
      <c r="G808" s="180"/>
      <c r="H808" s="104">
        <f>E808+F808+G808</f>
        <v>9490.2099999999991</v>
      </c>
      <c r="I808" s="104">
        <f>H808</f>
        <v>9490.2099999999991</v>
      </c>
      <c r="J808" s="14"/>
      <c r="K808" s="39"/>
    </row>
    <row r="809" spans="1:11" s="26" customFormat="1" ht="27.75" customHeight="1" outlineLevel="1" x14ac:dyDescent="0.2">
      <c r="A809" s="42" t="s">
        <v>157</v>
      </c>
      <c r="B809" s="97">
        <v>42984</v>
      </c>
      <c r="C809" s="97">
        <v>43530</v>
      </c>
      <c r="D809" s="141">
        <v>50</v>
      </c>
      <c r="E809" s="180"/>
      <c r="F809" s="181">
        <v>817.86</v>
      </c>
      <c r="G809" s="180"/>
      <c r="H809" s="104">
        <f t="shared" ref="H809:H872" si="62">E809+F809+G809</f>
        <v>817.86</v>
      </c>
      <c r="I809" s="104">
        <f t="shared" ref="I809:I872" si="63">H809</f>
        <v>817.86</v>
      </c>
      <c r="J809" s="14"/>
      <c r="K809" s="39"/>
    </row>
    <row r="810" spans="1:11" s="26" customFormat="1" ht="27.75" customHeight="1" outlineLevel="1" x14ac:dyDescent="0.2">
      <c r="A810" s="42" t="s">
        <v>270</v>
      </c>
      <c r="B810" s="97">
        <v>43147</v>
      </c>
      <c r="C810" s="97">
        <v>43512</v>
      </c>
      <c r="D810" s="141">
        <v>70</v>
      </c>
      <c r="E810" s="181">
        <v>844.04</v>
      </c>
      <c r="F810" s="180"/>
      <c r="G810" s="180"/>
      <c r="H810" s="104">
        <f t="shared" si="62"/>
        <v>844.04</v>
      </c>
      <c r="I810" s="104">
        <f t="shared" si="63"/>
        <v>844.04</v>
      </c>
      <c r="J810" s="14"/>
      <c r="K810" s="39"/>
    </row>
    <row r="811" spans="1:11" s="26" customFormat="1" ht="27.75" customHeight="1" outlineLevel="1" x14ac:dyDescent="0.2">
      <c r="A811" s="42" t="s">
        <v>271</v>
      </c>
      <c r="B811" s="97">
        <v>43012</v>
      </c>
      <c r="C811" s="97">
        <v>43377</v>
      </c>
      <c r="D811" s="141">
        <v>80</v>
      </c>
      <c r="E811" s="181">
        <v>844.04</v>
      </c>
      <c r="F811" s="180"/>
      <c r="G811" s="180"/>
      <c r="H811" s="104">
        <f t="shared" si="62"/>
        <v>844.04</v>
      </c>
      <c r="I811" s="104">
        <f t="shared" si="63"/>
        <v>844.04</v>
      </c>
      <c r="J811" s="14"/>
      <c r="K811" s="39"/>
    </row>
    <row r="812" spans="1:11" s="26" customFormat="1" ht="27.75" customHeight="1" outlineLevel="1" x14ac:dyDescent="0.2">
      <c r="A812" s="42" t="s">
        <v>269</v>
      </c>
      <c r="B812" s="97">
        <v>42702</v>
      </c>
      <c r="C812" s="97" t="s">
        <v>1271</v>
      </c>
      <c r="D812" s="141">
        <v>90</v>
      </c>
      <c r="E812" s="181">
        <v>844.04</v>
      </c>
      <c r="F812" s="100">
        <v>12392.29</v>
      </c>
      <c r="G812" s="180"/>
      <c r="H812" s="104">
        <f t="shared" si="62"/>
        <v>13236.330000000002</v>
      </c>
      <c r="I812" s="104">
        <f t="shared" si="63"/>
        <v>13236.330000000002</v>
      </c>
      <c r="J812" s="14"/>
      <c r="K812" s="39"/>
    </row>
    <row r="813" spans="1:11" s="26" customFormat="1" ht="27.75" customHeight="1" outlineLevel="1" x14ac:dyDescent="0.2">
      <c r="A813" s="42" t="s">
        <v>272</v>
      </c>
      <c r="B813" s="97">
        <v>42909</v>
      </c>
      <c r="C813" s="97">
        <v>43457</v>
      </c>
      <c r="D813" s="141">
        <v>80</v>
      </c>
      <c r="E813" s="180"/>
      <c r="F813" s="182">
        <v>51762.3</v>
      </c>
      <c r="G813" s="180"/>
      <c r="H813" s="104">
        <f t="shared" si="62"/>
        <v>51762.3</v>
      </c>
      <c r="I813" s="104">
        <f t="shared" si="63"/>
        <v>51762.3</v>
      </c>
      <c r="J813" s="14"/>
      <c r="K813" s="39"/>
    </row>
    <row r="814" spans="1:11" s="26" customFormat="1" ht="27.75" customHeight="1" outlineLevel="1" x14ac:dyDescent="0.2">
      <c r="A814" s="42" t="s">
        <v>400</v>
      </c>
      <c r="B814" s="97">
        <v>43129</v>
      </c>
      <c r="C814" s="97">
        <v>43494</v>
      </c>
      <c r="D814" s="141">
        <v>60</v>
      </c>
      <c r="E814" s="181">
        <v>844.04</v>
      </c>
      <c r="F814" s="100">
        <v>6291.33</v>
      </c>
      <c r="G814" s="180"/>
      <c r="H814" s="104">
        <f t="shared" si="62"/>
        <v>7135.37</v>
      </c>
      <c r="I814" s="104">
        <f t="shared" si="63"/>
        <v>7135.37</v>
      </c>
      <c r="J814" s="14"/>
      <c r="K814" s="39"/>
    </row>
    <row r="815" spans="1:11" s="26" customFormat="1" ht="27.75" customHeight="1" outlineLevel="1" x14ac:dyDescent="0.2">
      <c r="A815" s="42" t="s">
        <v>403</v>
      </c>
      <c r="B815" s="97">
        <v>43059</v>
      </c>
      <c r="C815" s="97">
        <v>43424</v>
      </c>
      <c r="D815" s="141">
        <v>60</v>
      </c>
      <c r="E815" s="183">
        <v>776.2</v>
      </c>
      <c r="F815" s="180"/>
      <c r="G815" s="180"/>
      <c r="H815" s="104">
        <f t="shared" si="62"/>
        <v>776.2</v>
      </c>
      <c r="I815" s="104">
        <f t="shared" si="63"/>
        <v>776.2</v>
      </c>
      <c r="J815" s="14"/>
      <c r="K815" s="39"/>
    </row>
    <row r="816" spans="1:11" s="26" customFormat="1" ht="23.25" customHeight="1" outlineLevel="1" x14ac:dyDescent="0.2">
      <c r="A816" s="42" t="s">
        <v>402</v>
      </c>
      <c r="B816" s="97">
        <v>43132</v>
      </c>
      <c r="C816" s="97">
        <v>43497</v>
      </c>
      <c r="D816" s="141">
        <v>40</v>
      </c>
      <c r="E816" s="100">
        <v>6327.25</v>
      </c>
      <c r="F816" s="180"/>
      <c r="G816" s="180"/>
      <c r="H816" s="104">
        <f t="shared" si="62"/>
        <v>6327.25</v>
      </c>
      <c r="I816" s="104">
        <f t="shared" si="63"/>
        <v>6327.25</v>
      </c>
      <c r="J816" s="14"/>
      <c r="K816" s="39"/>
    </row>
    <row r="817" spans="1:11" s="26" customFormat="1" ht="27.75" customHeight="1" outlineLevel="1" x14ac:dyDescent="0.2">
      <c r="A817" s="42" t="s">
        <v>401</v>
      </c>
      <c r="B817" s="97">
        <v>43063</v>
      </c>
      <c r="C817" s="97">
        <v>43428</v>
      </c>
      <c r="D817" s="141">
        <v>40</v>
      </c>
      <c r="E817" s="183">
        <v>776.2</v>
      </c>
      <c r="F817" s="100">
        <v>6596.88</v>
      </c>
      <c r="G817" s="180"/>
      <c r="H817" s="104">
        <f t="shared" si="62"/>
        <v>7373.08</v>
      </c>
      <c r="I817" s="104">
        <f t="shared" si="63"/>
        <v>7373.08</v>
      </c>
      <c r="J817" s="14"/>
      <c r="K817" s="39"/>
    </row>
    <row r="818" spans="1:11" s="26" customFormat="1" outlineLevel="1" x14ac:dyDescent="0.2">
      <c r="A818" s="42" t="s">
        <v>406</v>
      </c>
      <c r="B818" s="97">
        <v>43116</v>
      </c>
      <c r="C818" s="97">
        <v>43481</v>
      </c>
      <c r="D818" s="141">
        <v>60</v>
      </c>
      <c r="E818" s="183">
        <v>776.2</v>
      </c>
      <c r="F818" s="180"/>
      <c r="G818" s="180"/>
      <c r="H818" s="104">
        <f t="shared" si="62"/>
        <v>776.2</v>
      </c>
      <c r="I818" s="104">
        <f t="shared" si="63"/>
        <v>776.2</v>
      </c>
      <c r="J818" s="14"/>
      <c r="K818" s="39"/>
    </row>
    <row r="819" spans="1:11" ht="30.75" customHeight="1" outlineLevel="1" x14ac:dyDescent="0.2">
      <c r="A819" s="42" t="s">
        <v>405</v>
      </c>
      <c r="B819" s="97">
        <v>43152</v>
      </c>
      <c r="C819" s="97">
        <v>43517</v>
      </c>
      <c r="D819" s="141">
        <v>45</v>
      </c>
      <c r="E819" s="183">
        <v>776.2</v>
      </c>
      <c r="F819" s="100">
        <v>3928.04</v>
      </c>
      <c r="G819" s="180"/>
      <c r="H819" s="104">
        <f t="shared" si="62"/>
        <v>4704.24</v>
      </c>
      <c r="I819" s="104">
        <f t="shared" si="63"/>
        <v>4704.24</v>
      </c>
      <c r="J819" s="14"/>
      <c r="K819" s="39"/>
    </row>
    <row r="820" spans="1:11" s="26" customFormat="1" ht="27.75" customHeight="1" outlineLevel="1" x14ac:dyDescent="0.2">
      <c r="A820" s="42" t="s">
        <v>404</v>
      </c>
      <c r="B820" s="97">
        <v>43091</v>
      </c>
      <c r="C820" s="97">
        <v>43456</v>
      </c>
      <c r="D820" s="141">
        <v>50</v>
      </c>
      <c r="E820" s="183">
        <v>776.2</v>
      </c>
      <c r="F820" s="180"/>
      <c r="G820" s="180"/>
      <c r="H820" s="104">
        <f t="shared" si="62"/>
        <v>776.2</v>
      </c>
      <c r="I820" s="104">
        <f t="shared" si="63"/>
        <v>776.2</v>
      </c>
      <c r="J820" s="14"/>
      <c r="K820" s="39"/>
    </row>
    <row r="821" spans="1:11" s="26" customFormat="1" outlineLevel="1" x14ac:dyDescent="0.2">
      <c r="A821" s="42" t="s">
        <v>883</v>
      </c>
      <c r="B821" s="97">
        <v>42999</v>
      </c>
      <c r="C821" s="97">
        <v>43364</v>
      </c>
      <c r="D821" s="141">
        <v>50</v>
      </c>
      <c r="E821" s="184">
        <v>19121</v>
      </c>
      <c r="F821" s="180"/>
      <c r="G821" s="180"/>
      <c r="H821" s="104">
        <f t="shared" si="62"/>
        <v>19121</v>
      </c>
      <c r="I821" s="104">
        <f t="shared" si="63"/>
        <v>19121</v>
      </c>
      <c r="J821" s="14"/>
      <c r="K821" s="39"/>
    </row>
    <row r="822" spans="1:11" s="26" customFormat="1" outlineLevel="1" x14ac:dyDescent="0.2">
      <c r="A822" s="42" t="s">
        <v>880</v>
      </c>
      <c r="B822" s="97">
        <v>43160</v>
      </c>
      <c r="C822" s="97">
        <v>43525</v>
      </c>
      <c r="D822" s="141">
        <v>50</v>
      </c>
      <c r="E822" s="100">
        <v>6522.03</v>
      </c>
      <c r="F822" s="180"/>
      <c r="G822" s="180"/>
      <c r="H822" s="104">
        <f t="shared" si="62"/>
        <v>6522.03</v>
      </c>
      <c r="I822" s="104">
        <f t="shared" si="63"/>
        <v>6522.03</v>
      </c>
      <c r="J822" s="14"/>
      <c r="K822" s="39"/>
    </row>
    <row r="823" spans="1:11" s="26" customFormat="1" outlineLevel="1" x14ac:dyDescent="0.2">
      <c r="A823" s="42" t="s">
        <v>891</v>
      </c>
      <c r="B823" s="97">
        <v>43181</v>
      </c>
      <c r="C823" s="97">
        <v>43456</v>
      </c>
      <c r="D823" s="141">
        <v>80</v>
      </c>
      <c r="E823" s="183">
        <v>776.2</v>
      </c>
      <c r="F823" s="180"/>
      <c r="G823" s="180"/>
      <c r="H823" s="104">
        <f t="shared" si="62"/>
        <v>776.2</v>
      </c>
      <c r="I823" s="104">
        <f t="shared" si="63"/>
        <v>776.2</v>
      </c>
      <c r="J823" s="14"/>
      <c r="K823" s="39"/>
    </row>
    <row r="824" spans="1:11" s="26" customFormat="1" outlineLevel="1" x14ac:dyDescent="0.2">
      <c r="A824" s="42" t="s">
        <v>889</v>
      </c>
      <c r="B824" s="97">
        <v>43087</v>
      </c>
      <c r="C824" s="97">
        <v>43452</v>
      </c>
      <c r="D824" s="141">
        <v>80</v>
      </c>
      <c r="E824" s="182">
        <v>1552.4</v>
      </c>
      <c r="F824" s="100">
        <v>6337.96</v>
      </c>
      <c r="G824" s="180"/>
      <c r="H824" s="104">
        <f t="shared" si="62"/>
        <v>7890.3600000000006</v>
      </c>
      <c r="I824" s="104">
        <f t="shared" si="63"/>
        <v>7890.3600000000006</v>
      </c>
      <c r="J824" s="14"/>
      <c r="K824" s="39"/>
    </row>
    <row r="825" spans="1:11" s="26" customFormat="1" ht="29.25" customHeight="1" outlineLevel="1" x14ac:dyDescent="0.2">
      <c r="A825" s="42" t="s">
        <v>890</v>
      </c>
      <c r="B825" s="97">
        <v>43098</v>
      </c>
      <c r="C825" s="97">
        <v>43463</v>
      </c>
      <c r="D825" s="141">
        <v>80</v>
      </c>
      <c r="E825" s="183">
        <v>776.2</v>
      </c>
      <c r="F825" s="100">
        <v>12890.77</v>
      </c>
      <c r="G825" s="180"/>
      <c r="H825" s="104">
        <f t="shared" si="62"/>
        <v>13666.970000000001</v>
      </c>
      <c r="I825" s="104">
        <f t="shared" si="63"/>
        <v>13666.970000000001</v>
      </c>
      <c r="J825" s="14"/>
      <c r="K825" s="39"/>
    </row>
    <row r="826" spans="1:11" s="26" customFormat="1" outlineLevel="1" x14ac:dyDescent="0.2">
      <c r="A826" s="42" t="s">
        <v>886</v>
      </c>
      <c r="B826" s="97">
        <v>43193</v>
      </c>
      <c r="C826" s="97">
        <v>43447</v>
      </c>
      <c r="D826" s="141">
        <v>100</v>
      </c>
      <c r="E826" s="100"/>
      <c r="F826" s="182">
        <v>7655.41</v>
      </c>
      <c r="G826" s="180"/>
      <c r="H826" s="104">
        <f t="shared" si="62"/>
        <v>7655.41</v>
      </c>
      <c r="I826" s="104">
        <f t="shared" si="63"/>
        <v>7655.41</v>
      </c>
      <c r="J826" s="14"/>
      <c r="K826" s="39"/>
    </row>
    <row r="827" spans="1:11" s="26" customFormat="1" outlineLevel="1" x14ac:dyDescent="0.2">
      <c r="A827" s="42" t="s">
        <v>882</v>
      </c>
      <c r="B827" s="97">
        <v>43216</v>
      </c>
      <c r="C827" s="97">
        <v>43491</v>
      </c>
      <c r="D827" s="141">
        <v>80</v>
      </c>
      <c r="E827" s="183">
        <v>776.2</v>
      </c>
      <c r="F827" s="180"/>
      <c r="G827" s="180"/>
      <c r="H827" s="104">
        <f t="shared" si="62"/>
        <v>776.2</v>
      </c>
      <c r="I827" s="104">
        <f t="shared" si="63"/>
        <v>776.2</v>
      </c>
      <c r="J827" s="14"/>
      <c r="K827" s="39"/>
    </row>
    <row r="828" spans="1:11" s="26" customFormat="1" outlineLevel="1" x14ac:dyDescent="0.2">
      <c r="A828" s="42" t="s">
        <v>887</v>
      </c>
      <c r="B828" s="97">
        <v>43200</v>
      </c>
      <c r="C828" s="97">
        <v>43475</v>
      </c>
      <c r="D828" s="141">
        <v>80</v>
      </c>
      <c r="E828" s="183">
        <v>776.2</v>
      </c>
      <c r="F828" s="180"/>
      <c r="G828" s="180"/>
      <c r="H828" s="104">
        <f t="shared" si="62"/>
        <v>776.2</v>
      </c>
      <c r="I828" s="104">
        <f t="shared" si="63"/>
        <v>776.2</v>
      </c>
      <c r="J828" s="14"/>
      <c r="K828" s="39"/>
    </row>
    <row r="829" spans="1:11" s="26" customFormat="1" outlineLevel="1" x14ac:dyDescent="0.2">
      <c r="A829" s="42" t="s">
        <v>879</v>
      </c>
      <c r="B829" s="97">
        <v>43147</v>
      </c>
      <c r="C829" s="97">
        <v>43512</v>
      </c>
      <c r="D829" s="141">
        <v>80</v>
      </c>
      <c r="E829" s="183">
        <v>776.2</v>
      </c>
      <c r="F829" s="180"/>
      <c r="G829" s="180"/>
      <c r="H829" s="104">
        <f t="shared" si="62"/>
        <v>776.2</v>
      </c>
      <c r="I829" s="104">
        <f t="shared" si="63"/>
        <v>776.2</v>
      </c>
      <c r="J829" s="14"/>
      <c r="K829" s="39"/>
    </row>
    <row r="830" spans="1:11" s="26" customFormat="1" outlineLevel="1" x14ac:dyDescent="0.2">
      <c r="A830" s="42" t="s">
        <v>881</v>
      </c>
      <c r="B830" s="97">
        <v>43199</v>
      </c>
      <c r="C830" s="97">
        <v>43474</v>
      </c>
      <c r="D830" s="141">
        <v>80</v>
      </c>
      <c r="E830" s="183">
        <v>776.2</v>
      </c>
      <c r="F830" s="180"/>
      <c r="G830" s="180"/>
      <c r="H830" s="104">
        <f t="shared" si="62"/>
        <v>776.2</v>
      </c>
      <c r="I830" s="104">
        <f t="shared" si="63"/>
        <v>776.2</v>
      </c>
      <c r="J830" s="14"/>
      <c r="K830" s="39"/>
    </row>
    <row r="831" spans="1:11" s="26" customFormat="1" ht="30" customHeight="1" outlineLevel="1" x14ac:dyDescent="0.2">
      <c r="A831" s="42" t="s">
        <v>884</v>
      </c>
      <c r="B831" s="97">
        <v>43201</v>
      </c>
      <c r="C831" s="97">
        <v>43566</v>
      </c>
      <c r="D831" s="141">
        <v>50</v>
      </c>
      <c r="E831" s="183">
        <v>776.2</v>
      </c>
      <c r="F831" s="180"/>
      <c r="G831" s="180"/>
      <c r="H831" s="104">
        <f t="shared" si="62"/>
        <v>776.2</v>
      </c>
      <c r="I831" s="104">
        <f t="shared" si="63"/>
        <v>776.2</v>
      </c>
      <c r="J831" s="14"/>
      <c r="K831" s="39"/>
    </row>
    <row r="832" spans="1:11" s="26" customFormat="1" ht="24" outlineLevel="1" x14ac:dyDescent="0.2">
      <c r="A832" s="42" t="s">
        <v>878</v>
      </c>
      <c r="B832" s="97">
        <v>43124</v>
      </c>
      <c r="C832" s="97">
        <v>43670</v>
      </c>
      <c r="D832" s="141">
        <v>40</v>
      </c>
      <c r="E832" s="183">
        <v>776.2</v>
      </c>
      <c r="F832" s="100">
        <v>49307.839999999997</v>
      </c>
      <c r="G832" s="180"/>
      <c r="H832" s="104">
        <f t="shared" si="62"/>
        <v>50084.039999999994</v>
      </c>
      <c r="I832" s="104">
        <f t="shared" si="63"/>
        <v>50084.039999999994</v>
      </c>
      <c r="J832" s="14"/>
      <c r="K832" s="39"/>
    </row>
    <row r="833" spans="1:11" s="26" customFormat="1" ht="24" outlineLevel="1" x14ac:dyDescent="0.2">
      <c r="A833" s="42" t="s">
        <v>1272</v>
      </c>
      <c r="B833" s="97">
        <v>43290</v>
      </c>
      <c r="C833" s="97">
        <v>43491</v>
      </c>
      <c r="D833" s="141">
        <v>80</v>
      </c>
      <c r="E833" s="183">
        <v>776.2</v>
      </c>
      <c r="F833" s="100">
        <v>14919.14</v>
      </c>
      <c r="G833" s="180"/>
      <c r="H833" s="104">
        <f t="shared" si="62"/>
        <v>15695.34</v>
      </c>
      <c r="I833" s="104">
        <f t="shared" si="63"/>
        <v>15695.34</v>
      </c>
      <c r="J833" s="14"/>
      <c r="K833" s="39"/>
    </row>
    <row r="834" spans="1:11" s="26" customFormat="1" outlineLevel="1" x14ac:dyDescent="0.2">
      <c r="A834" s="42" t="s">
        <v>1273</v>
      </c>
      <c r="B834" s="97">
        <v>43290</v>
      </c>
      <c r="C834" s="97">
        <v>43482</v>
      </c>
      <c r="D834" s="141">
        <v>80</v>
      </c>
      <c r="E834" s="183">
        <v>776.2</v>
      </c>
      <c r="F834" s="100">
        <v>39564.71</v>
      </c>
      <c r="G834" s="180"/>
      <c r="H834" s="104">
        <f t="shared" si="62"/>
        <v>40340.909999999996</v>
      </c>
      <c r="I834" s="104">
        <f t="shared" si="63"/>
        <v>40340.909999999996</v>
      </c>
      <c r="J834" s="14"/>
      <c r="K834" s="39"/>
    </row>
    <row r="835" spans="1:11" s="26" customFormat="1" outlineLevel="1" x14ac:dyDescent="0.2">
      <c r="A835" s="42" t="s">
        <v>1274</v>
      </c>
      <c r="B835" s="97">
        <v>43290</v>
      </c>
      <c r="C835" s="97">
        <v>43486</v>
      </c>
      <c r="D835" s="141">
        <v>90</v>
      </c>
      <c r="E835" s="183">
        <v>776.2</v>
      </c>
      <c r="F835" s="180"/>
      <c r="G835" s="180"/>
      <c r="H835" s="104">
        <f t="shared" si="62"/>
        <v>776.2</v>
      </c>
      <c r="I835" s="104">
        <f t="shared" si="63"/>
        <v>776.2</v>
      </c>
      <c r="J835" s="14"/>
      <c r="K835" s="39"/>
    </row>
    <row r="836" spans="1:11" s="26" customFormat="1" outlineLevel="1" x14ac:dyDescent="0.2">
      <c r="A836" s="42" t="s">
        <v>1275</v>
      </c>
      <c r="B836" s="97">
        <v>43306</v>
      </c>
      <c r="C836" s="97">
        <v>43653</v>
      </c>
      <c r="D836" s="141">
        <v>60</v>
      </c>
      <c r="E836" s="181">
        <v>807.25</v>
      </c>
      <c r="F836" s="100">
        <v>8358.6200000000008</v>
      </c>
      <c r="G836" s="180"/>
      <c r="H836" s="104">
        <f t="shared" si="62"/>
        <v>9165.8700000000008</v>
      </c>
      <c r="I836" s="104">
        <f t="shared" si="63"/>
        <v>9165.8700000000008</v>
      </c>
      <c r="J836" s="14"/>
      <c r="K836" s="39"/>
    </row>
    <row r="837" spans="1:11" s="26" customFormat="1" ht="39" customHeight="1" outlineLevel="1" x14ac:dyDescent="0.2">
      <c r="A837" s="42" t="s">
        <v>1276</v>
      </c>
      <c r="B837" s="97">
        <v>43306</v>
      </c>
      <c r="C837" s="97">
        <v>43426</v>
      </c>
      <c r="D837" s="141">
        <v>80</v>
      </c>
      <c r="E837" s="181">
        <v>807.25</v>
      </c>
      <c r="F837" s="180"/>
      <c r="G837" s="180"/>
      <c r="H837" s="104">
        <f t="shared" si="62"/>
        <v>807.25</v>
      </c>
      <c r="I837" s="104">
        <f t="shared" si="63"/>
        <v>807.25</v>
      </c>
      <c r="J837" s="14"/>
      <c r="K837" s="39"/>
    </row>
    <row r="838" spans="1:11" s="26" customFormat="1" outlineLevel="1" x14ac:dyDescent="0.2">
      <c r="A838" s="42" t="s">
        <v>1277</v>
      </c>
      <c r="B838" s="97">
        <v>43306</v>
      </c>
      <c r="C838" s="97">
        <v>43545</v>
      </c>
      <c r="D838" s="141">
        <v>45</v>
      </c>
      <c r="E838" s="100">
        <v>5044.54</v>
      </c>
      <c r="F838" s="180"/>
      <c r="G838" s="180"/>
      <c r="H838" s="104">
        <f t="shared" si="62"/>
        <v>5044.54</v>
      </c>
      <c r="I838" s="104">
        <f t="shared" si="63"/>
        <v>5044.54</v>
      </c>
      <c r="J838" s="14"/>
      <c r="K838" s="39"/>
    </row>
    <row r="839" spans="1:11" s="26" customFormat="1" ht="24" outlineLevel="1" x14ac:dyDescent="0.2">
      <c r="A839" s="42" t="s">
        <v>1278</v>
      </c>
      <c r="B839" s="97">
        <v>43306</v>
      </c>
      <c r="C839" s="97">
        <v>43506</v>
      </c>
      <c r="D839" s="141">
        <v>50</v>
      </c>
      <c r="E839" s="181">
        <v>807.25</v>
      </c>
      <c r="F839" s="180"/>
      <c r="G839" s="180"/>
      <c r="H839" s="104">
        <f t="shared" si="62"/>
        <v>807.25</v>
      </c>
      <c r="I839" s="104">
        <f t="shared" si="63"/>
        <v>807.25</v>
      </c>
      <c r="J839" s="14"/>
      <c r="K839" s="39"/>
    </row>
    <row r="840" spans="1:11" s="26" customFormat="1" ht="33.75" customHeight="1" outlineLevel="1" x14ac:dyDescent="0.2">
      <c r="A840" s="42" t="s">
        <v>1279</v>
      </c>
      <c r="B840" s="97">
        <v>43349</v>
      </c>
      <c r="C840" s="97">
        <v>43586</v>
      </c>
      <c r="D840" s="141">
        <v>70</v>
      </c>
      <c r="E840" s="100">
        <v>6202.08</v>
      </c>
      <c r="F840" s="180"/>
      <c r="G840" s="180"/>
      <c r="H840" s="104">
        <f t="shared" si="62"/>
        <v>6202.08</v>
      </c>
      <c r="I840" s="104">
        <f t="shared" si="63"/>
        <v>6202.08</v>
      </c>
      <c r="J840" s="14"/>
      <c r="K840" s="39"/>
    </row>
    <row r="841" spans="1:11" s="26" customFormat="1" ht="29.25" customHeight="1" outlineLevel="1" x14ac:dyDescent="0.2">
      <c r="A841" s="42" t="s">
        <v>1280</v>
      </c>
      <c r="B841" s="97">
        <v>43371</v>
      </c>
      <c r="C841" s="97">
        <v>43488</v>
      </c>
      <c r="D841" s="141">
        <v>70</v>
      </c>
      <c r="E841" s="180"/>
      <c r="F841" s="100">
        <v>23938.57</v>
      </c>
      <c r="G841" s="180"/>
      <c r="H841" s="104">
        <f t="shared" si="62"/>
        <v>23938.57</v>
      </c>
      <c r="I841" s="104">
        <f t="shared" si="63"/>
        <v>23938.57</v>
      </c>
      <c r="J841" s="14"/>
      <c r="K841" s="39"/>
    </row>
    <row r="842" spans="1:11" s="26" customFormat="1" ht="29.25" customHeight="1" outlineLevel="1" x14ac:dyDescent="0.2">
      <c r="A842" s="42" t="s">
        <v>1281</v>
      </c>
      <c r="B842" s="97">
        <v>43371</v>
      </c>
      <c r="C842" s="97">
        <v>43504</v>
      </c>
      <c r="D842" s="141">
        <v>40</v>
      </c>
      <c r="E842" s="180"/>
      <c r="F842" s="100">
        <v>4606.9399999999996</v>
      </c>
      <c r="G842" s="180"/>
      <c r="H842" s="104">
        <f t="shared" si="62"/>
        <v>4606.9399999999996</v>
      </c>
      <c r="I842" s="104">
        <f t="shared" si="63"/>
        <v>4606.9399999999996</v>
      </c>
      <c r="J842" s="14"/>
      <c r="K842" s="39"/>
    </row>
    <row r="843" spans="1:11" s="26" customFormat="1" ht="44.25" customHeight="1" outlineLevel="1" x14ac:dyDescent="0.2">
      <c r="A843" s="42" t="s">
        <v>1282</v>
      </c>
      <c r="B843" s="97">
        <v>43360</v>
      </c>
      <c r="C843" s="97">
        <v>43560</v>
      </c>
      <c r="D843" s="141">
        <v>45</v>
      </c>
      <c r="E843" s="100">
        <v>4237.29</v>
      </c>
      <c r="F843" s="180"/>
      <c r="G843" s="180"/>
      <c r="H843" s="104">
        <f t="shared" si="62"/>
        <v>4237.29</v>
      </c>
      <c r="I843" s="104">
        <f t="shared" si="63"/>
        <v>4237.29</v>
      </c>
      <c r="J843" s="14"/>
      <c r="K843" s="39"/>
    </row>
    <row r="844" spans="1:11" s="26" customFormat="1" ht="35.25" customHeight="1" outlineLevel="1" x14ac:dyDescent="0.2">
      <c r="A844" s="42" t="s">
        <v>1283</v>
      </c>
      <c r="B844" s="97">
        <v>43371</v>
      </c>
      <c r="C844" s="97">
        <v>43426</v>
      </c>
      <c r="D844" s="141">
        <v>90</v>
      </c>
      <c r="E844" s="180"/>
      <c r="F844" s="100">
        <v>4295.66</v>
      </c>
      <c r="G844" s="180"/>
      <c r="H844" s="104">
        <f t="shared" si="62"/>
        <v>4295.66</v>
      </c>
      <c r="I844" s="104">
        <f t="shared" si="63"/>
        <v>4295.66</v>
      </c>
      <c r="J844" s="14"/>
      <c r="K844" s="39"/>
    </row>
    <row r="845" spans="1:11" s="26" customFormat="1" ht="24" outlineLevel="1" x14ac:dyDescent="0.2">
      <c r="A845" s="42" t="s">
        <v>1284</v>
      </c>
      <c r="B845" s="97">
        <v>43371</v>
      </c>
      <c r="C845" s="97">
        <v>43475</v>
      </c>
      <c r="D845" s="141">
        <v>80</v>
      </c>
      <c r="E845" s="180"/>
      <c r="F845" s="100">
        <v>5168.67</v>
      </c>
      <c r="G845" s="180"/>
      <c r="H845" s="104">
        <f t="shared" si="62"/>
        <v>5168.67</v>
      </c>
      <c r="I845" s="104">
        <f t="shared" si="63"/>
        <v>5168.67</v>
      </c>
      <c r="J845" s="14"/>
      <c r="K845" s="39"/>
    </row>
    <row r="846" spans="1:11" s="26" customFormat="1" ht="27.75" customHeight="1" outlineLevel="1" x14ac:dyDescent="0.2">
      <c r="A846" s="42" t="s">
        <v>1285</v>
      </c>
      <c r="B846" s="97">
        <v>43371</v>
      </c>
      <c r="C846" s="97">
        <v>43465</v>
      </c>
      <c r="D846" s="141">
        <v>80</v>
      </c>
      <c r="E846" s="180"/>
      <c r="F846" s="100">
        <v>8936.2199999999993</v>
      </c>
      <c r="G846" s="180"/>
      <c r="H846" s="104">
        <f t="shared" si="62"/>
        <v>8936.2199999999993</v>
      </c>
      <c r="I846" s="104">
        <f t="shared" si="63"/>
        <v>8936.2199999999993</v>
      </c>
      <c r="J846" s="14"/>
      <c r="K846" s="39"/>
    </row>
    <row r="847" spans="1:11" outlineLevel="1" x14ac:dyDescent="0.2">
      <c r="A847" s="42" t="s">
        <v>1286</v>
      </c>
      <c r="B847" s="97">
        <v>43160</v>
      </c>
      <c r="C847" s="97">
        <v>43525</v>
      </c>
      <c r="D847" s="141">
        <v>60</v>
      </c>
      <c r="E847" s="180"/>
      <c r="F847" s="100">
        <v>5855.24</v>
      </c>
      <c r="G847" s="180"/>
      <c r="H847" s="104">
        <f t="shared" si="62"/>
        <v>5855.24</v>
      </c>
      <c r="I847" s="104">
        <f t="shared" si="63"/>
        <v>5855.24</v>
      </c>
      <c r="J847" s="14"/>
      <c r="K847" s="39"/>
    </row>
    <row r="848" spans="1:11" ht="30" customHeight="1" outlineLevel="1" x14ac:dyDescent="0.2">
      <c r="A848" s="42" t="s">
        <v>1287</v>
      </c>
      <c r="B848" s="97">
        <v>43371</v>
      </c>
      <c r="C848" s="97">
        <v>43440</v>
      </c>
      <c r="D848" s="141">
        <v>80</v>
      </c>
      <c r="E848" s="180"/>
      <c r="F848" s="100">
        <v>4466.55</v>
      </c>
      <c r="G848" s="180"/>
      <c r="H848" s="104">
        <f t="shared" si="62"/>
        <v>4466.55</v>
      </c>
      <c r="I848" s="104">
        <f t="shared" si="63"/>
        <v>4466.55</v>
      </c>
      <c r="J848" s="14"/>
      <c r="K848" s="39"/>
    </row>
    <row r="849" spans="1:11" ht="18" customHeight="1" outlineLevel="1" x14ac:dyDescent="0.2">
      <c r="A849" s="42" t="s">
        <v>1288</v>
      </c>
      <c r="B849" s="97">
        <v>43371</v>
      </c>
      <c r="C849" s="97">
        <v>43515</v>
      </c>
      <c r="D849" s="141">
        <v>70</v>
      </c>
      <c r="E849" s="180"/>
      <c r="F849" s="100">
        <v>5782.54</v>
      </c>
      <c r="G849" s="180"/>
      <c r="H849" s="104">
        <f t="shared" si="62"/>
        <v>5782.54</v>
      </c>
      <c r="I849" s="104">
        <f t="shared" si="63"/>
        <v>5782.54</v>
      </c>
      <c r="J849" s="14"/>
      <c r="K849" s="39"/>
    </row>
    <row r="850" spans="1:11" ht="27" customHeight="1" outlineLevel="1" x14ac:dyDescent="0.2">
      <c r="A850" s="42" t="s">
        <v>1289</v>
      </c>
      <c r="B850" s="97">
        <v>43360</v>
      </c>
      <c r="C850" s="97">
        <v>43631</v>
      </c>
      <c r="D850" s="141">
        <v>40</v>
      </c>
      <c r="E850" s="100">
        <v>4237.29</v>
      </c>
      <c r="F850" s="180"/>
      <c r="G850" s="180"/>
      <c r="H850" s="104">
        <f t="shared" si="62"/>
        <v>4237.29</v>
      </c>
      <c r="I850" s="104">
        <f t="shared" si="63"/>
        <v>4237.29</v>
      </c>
      <c r="J850" s="14"/>
      <c r="K850" s="39"/>
    </row>
    <row r="851" spans="1:11" ht="27" customHeight="1" outlineLevel="1" x14ac:dyDescent="0.2">
      <c r="A851" s="42" t="s">
        <v>1290</v>
      </c>
      <c r="B851" s="97">
        <v>43371</v>
      </c>
      <c r="C851" s="97">
        <v>43465</v>
      </c>
      <c r="D851" s="141">
        <v>70</v>
      </c>
      <c r="E851" s="180"/>
      <c r="F851" s="100">
        <v>20555.87</v>
      </c>
      <c r="G851" s="180"/>
      <c r="H851" s="104">
        <f t="shared" si="62"/>
        <v>20555.87</v>
      </c>
      <c r="I851" s="104">
        <f t="shared" si="63"/>
        <v>20555.87</v>
      </c>
      <c r="J851" s="14"/>
      <c r="K851" s="39"/>
    </row>
    <row r="852" spans="1:11" ht="27" customHeight="1" outlineLevel="1" x14ac:dyDescent="0.2">
      <c r="A852" s="42" t="s">
        <v>888</v>
      </c>
      <c r="B852" s="97">
        <v>43006</v>
      </c>
      <c r="C852" s="97">
        <v>43552</v>
      </c>
      <c r="D852" s="141">
        <v>30</v>
      </c>
      <c r="E852" s="184">
        <v>25176</v>
      </c>
      <c r="F852" s="100">
        <v>29337.69</v>
      </c>
      <c r="G852" s="180"/>
      <c r="H852" s="104">
        <f t="shared" si="62"/>
        <v>54513.69</v>
      </c>
      <c r="I852" s="104">
        <f t="shared" si="63"/>
        <v>54513.69</v>
      </c>
      <c r="J852" s="14"/>
      <c r="K852" s="39"/>
    </row>
    <row r="853" spans="1:11" ht="27" customHeight="1" outlineLevel="1" x14ac:dyDescent="0.2">
      <c r="A853" s="42" t="s">
        <v>885</v>
      </c>
      <c r="B853" s="97">
        <v>43151</v>
      </c>
      <c r="C853" s="97">
        <v>43516</v>
      </c>
      <c r="D853" s="141">
        <v>50</v>
      </c>
      <c r="E853" s="181">
        <v>844.04</v>
      </c>
      <c r="F853" s="100">
        <v>5838.97</v>
      </c>
      <c r="G853" s="180"/>
      <c r="H853" s="104">
        <f t="shared" si="62"/>
        <v>6683.01</v>
      </c>
      <c r="I853" s="104">
        <f t="shared" si="63"/>
        <v>6683.01</v>
      </c>
      <c r="J853" s="14"/>
      <c r="K853" s="39"/>
    </row>
    <row r="854" spans="1:11" ht="57" customHeight="1" outlineLevel="1" x14ac:dyDescent="0.2">
      <c r="A854" s="42" t="s">
        <v>1291</v>
      </c>
      <c r="B854" s="97">
        <v>43006</v>
      </c>
      <c r="C854" s="97" t="s">
        <v>892</v>
      </c>
      <c r="D854" s="141"/>
      <c r="E854" s="184"/>
      <c r="F854" s="100">
        <v>14708.29</v>
      </c>
      <c r="G854" s="100"/>
      <c r="H854" s="104">
        <f t="shared" si="62"/>
        <v>14708.29</v>
      </c>
      <c r="I854" s="104">
        <f t="shared" si="63"/>
        <v>14708.29</v>
      </c>
      <c r="J854" s="14"/>
      <c r="K854" s="39"/>
    </row>
    <row r="855" spans="1:11" ht="57" customHeight="1" outlineLevel="1" x14ac:dyDescent="0.2">
      <c r="A855" s="42" t="s">
        <v>1292</v>
      </c>
      <c r="B855" s="97">
        <v>43312</v>
      </c>
      <c r="C855" s="97" t="s">
        <v>892</v>
      </c>
      <c r="D855" s="141"/>
      <c r="E855" s="100"/>
      <c r="F855" s="100">
        <v>7441.97</v>
      </c>
      <c r="G855" s="100"/>
      <c r="H855" s="104">
        <f t="shared" si="62"/>
        <v>7441.97</v>
      </c>
      <c r="I855" s="104">
        <f t="shared" si="63"/>
        <v>7441.97</v>
      </c>
      <c r="J855" s="14"/>
      <c r="K855" s="39"/>
    </row>
    <row r="856" spans="1:11" ht="54.75" customHeight="1" outlineLevel="1" x14ac:dyDescent="0.2">
      <c r="A856" s="42" t="s">
        <v>1293</v>
      </c>
      <c r="B856" s="97">
        <v>43312</v>
      </c>
      <c r="C856" s="97" t="s">
        <v>892</v>
      </c>
      <c r="D856" s="141"/>
      <c r="E856" s="100"/>
      <c r="F856" s="100">
        <v>19320.09</v>
      </c>
      <c r="G856" s="100"/>
      <c r="H856" s="104">
        <f t="shared" si="62"/>
        <v>19320.09</v>
      </c>
      <c r="I856" s="104">
        <f t="shared" si="63"/>
        <v>19320.09</v>
      </c>
      <c r="J856" s="14"/>
      <c r="K856" s="39"/>
    </row>
    <row r="857" spans="1:11" ht="27" customHeight="1" outlineLevel="1" x14ac:dyDescent="0.2">
      <c r="A857" s="42" t="s">
        <v>1294</v>
      </c>
      <c r="B857" s="97">
        <v>43006</v>
      </c>
      <c r="C857" s="97">
        <v>43507</v>
      </c>
      <c r="D857" s="141">
        <v>70</v>
      </c>
      <c r="E857" s="180"/>
      <c r="F857" s="100">
        <v>35656.339999999997</v>
      </c>
      <c r="G857" s="180"/>
      <c r="H857" s="104">
        <f t="shared" si="62"/>
        <v>35656.339999999997</v>
      </c>
      <c r="I857" s="104">
        <f t="shared" si="63"/>
        <v>35656.339999999997</v>
      </c>
      <c r="J857" s="14"/>
      <c r="K857" s="39"/>
    </row>
    <row r="858" spans="1:11" ht="27" customHeight="1" outlineLevel="1" x14ac:dyDescent="0.2">
      <c r="A858" s="42" t="s">
        <v>1295</v>
      </c>
      <c r="B858" s="97">
        <v>43006</v>
      </c>
      <c r="C858" s="97">
        <v>43609</v>
      </c>
      <c r="D858" s="141">
        <v>70</v>
      </c>
      <c r="E858" s="180"/>
      <c r="F858" s="100">
        <v>7810.46</v>
      </c>
      <c r="G858" s="180"/>
      <c r="H858" s="104">
        <f t="shared" si="62"/>
        <v>7810.46</v>
      </c>
      <c r="I858" s="104">
        <f t="shared" si="63"/>
        <v>7810.46</v>
      </c>
      <c r="J858" s="14"/>
      <c r="K858" s="39"/>
    </row>
    <row r="859" spans="1:11" ht="27" customHeight="1" outlineLevel="1" x14ac:dyDescent="0.2">
      <c r="A859" s="42" t="s">
        <v>1296</v>
      </c>
      <c r="B859" s="97">
        <v>43006</v>
      </c>
      <c r="C859" s="97">
        <v>43460</v>
      </c>
      <c r="D859" s="141">
        <v>80</v>
      </c>
      <c r="E859" s="180"/>
      <c r="F859" s="181">
        <v>962.65</v>
      </c>
      <c r="G859" s="180"/>
      <c r="H859" s="104">
        <f t="shared" si="62"/>
        <v>962.65</v>
      </c>
      <c r="I859" s="104">
        <f t="shared" si="63"/>
        <v>962.65</v>
      </c>
      <c r="J859" s="14"/>
      <c r="K859" s="39"/>
    </row>
    <row r="860" spans="1:11" ht="27" customHeight="1" outlineLevel="1" x14ac:dyDescent="0.2">
      <c r="A860" s="42" t="s">
        <v>1297</v>
      </c>
      <c r="B860" s="97">
        <v>43006</v>
      </c>
      <c r="C860" s="97">
        <v>43481</v>
      </c>
      <c r="D860" s="141">
        <v>70</v>
      </c>
      <c r="E860" s="180"/>
      <c r="F860" s="100">
        <v>4617.66</v>
      </c>
      <c r="G860" s="180"/>
      <c r="H860" s="104">
        <f t="shared" si="62"/>
        <v>4617.66</v>
      </c>
      <c r="I860" s="104">
        <f t="shared" si="63"/>
        <v>4617.66</v>
      </c>
      <c r="J860" s="14"/>
      <c r="K860" s="39"/>
    </row>
    <row r="861" spans="1:11" ht="27" customHeight="1" outlineLevel="1" x14ac:dyDescent="0.2">
      <c r="A861" s="42" t="s">
        <v>1298</v>
      </c>
      <c r="B861" s="97">
        <v>43006</v>
      </c>
      <c r="C861" s="97">
        <v>43465</v>
      </c>
      <c r="D861" s="141">
        <v>90</v>
      </c>
      <c r="E861" s="180"/>
      <c r="F861" s="100">
        <v>3795.45</v>
      </c>
      <c r="G861" s="180"/>
      <c r="H861" s="104">
        <f t="shared" si="62"/>
        <v>3795.45</v>
      </c>
      <c r="I861" s="104">
        <f t="shared" si="63"/>
        <v>3795.45</v>
      </c>
      <c r="J861" s="14"/>
      <c r="K861" s="39"/>
    </row>
    <row r="862" spans="1:11" ht="27" customHeight="1" outlineLevel="1" x14ac:dyDescent="0.2">
      <c r="A862" s="42" t="s">
        <v>1299</v>
      </c>
      <c r="B862" s="97">
        <v>43006</v>
      </c>
      <c r="C862" s="97">
        <v>43491</v>
      </c>
      <c r="D862" s="141">
        <v>80</v>
      </c>
      <c r="E862" s="180"/>
      <c r="F862" s="182">
        <v>3795.8</v>
      </c>
      <c r="G862" s="180"/>
      <c r="H862" s="104">
        <f t="shared" si="62"/>
        <v>3795.8</v>
      </c>
      <c r="I862" s="104">
        <f t="shared" si="63"/>
        <v>3795.8</v>
      </c>
      <c r="J862" s="14"/>
      <c r="K862" s="39"/>
    </row>
    <row r="863" spans="1:11" ht="27" customHeight="1" outlineLevel="1" x14ac:dyDescent="0.2">
      <c r="A863" s="42" t="s">
        <v>1300</v>
      </c>
      <c r="B863" s="97">
        <v>43006</v>
      </c>
      <c r="C863" s="97">
        <v>43489</v>
      </c>
      <c r="D863" s="141">
        <v>80</v>
      </c>
      <c r="E863" s="180"/>
      <c r="F863" s="100">
        <v>22287.15</v>
      </c>
      <c r="G863" s="180"/>
      <c r="H863" s="104">
        <f t="shared" si="62"/>
        <v>22287.15</v>
      </c>
      <c r="I863" s="104">
        <f t="shared" si="63"/>
        <v>22287.15</v>
      </c>
      <c r="J863" s="14"/>
      <c r="K863" s="39"/>
    </row>
    <row r="864" spans="1:11" ht="27" customHeight="1" outlineLevel="1" x14ac:dyDescent="0.2">
      <c r="A864" s="42" t="s">
        <v>1301</v>
      </c>
      <c r="B864" s="97">
        <v>43006</v>
      </c>
      <c r="C864" s="97">
        <v>43510</v>
      </c>
      <c r="D864" s="141">
        <v>70</v>
      </c>
      <c r="E864" s="180"/>
      <c r="F864" s="100">
        <v>5676.92</v>
      </c>
      <c r="G864" s="180"/>
      <c r="H864" s="104">
        <f t="shared" si="62"/>
        <v>5676.92</v>
      </c>
      <c r="I864" s="104">
        <f t="shared" si="63"/>
        <v>5676.92</v>
      </c>
      <c r="J864" s="14"/>
      <c r="K864" s="39"/>
    </row>
    <row r="865" spans="1:11" ht="27" customHeight="1" outlineLevel="1" x14ac:dyDescent="0.2">
      <c r="A865" s="42" t="s">
        <v>1302</v>
      </c>
      <c r="B865" s="97">
        <v>43006</v>
      </c>
      <c r="C865" s="97">
        <v>43635</v>
      </c>
      <c r="D865" s="141">
        <v>30</v>
      </c>
      <c r="E865" s="180"/>
      <c r="F865" s="100">
        <v>3108.86</v>
      </c>
      <c r="G865" s="180"/>
      <c r="H865" s="104">
        <f t="shared" si="62"/>
        <v>3108.86</v>
      </c>
      <c r="I865" s="104">
        <f t="shared" si="63"/>
        <v>3108.86</v>
      </c>
      <c r="J865" s="14"/>
      <c r="K865" s="39"/>
    </row>
    <row r="866" spans="1:11" ht="27" customHeight="1" outlineLevel="1" x14ac:dyDescent="0.2">
      <c r="A866" s="42" t="s">
        <v>1303</v>
      </c>
      <c r="B866" s="97">
        <v>43006</v>
      </c>
      <c r="C866" s="97">
        <v>43483</v>
      </c>
      <c r="D866" s="141">
        <v>60</v>
      </c>
      <c r="E866" s="180"/>
      <c r="F866" s="100">
        <v>1175.33</v>
      </c>
      <c r="G866" s="180"/>
      <c r="H866" s="104">
        <f t="shared" si="62"/>
        <v>1175.33</v>
      </c>
      <c r="I866" s="104">
        <f t="shared" si="63"/>
        <v>1175.33</v>
      </c>
      <c r="J866" s="14"/>
      <c r="K866" s="39"/>
    </row>
    <row r="867" spans="1:11" ht="27" customHeight="1" outlineLevel="1" x14ac:dyDescent="0.2">
      <c r="A867" s="42" t="s">
        <v>1304</v>
      </c>
      <c r="B867" s="97">
        <v>43006</v>
      </c>
      <c r="C867" s="97">
        <v>43470</v>
      </c>
      <c r="D867" s="141">
        <v>75</v>
      </c>
      <c r="E867" s="180"/>
      <c r="F867" s="100">
        <v>2697.07</v>
      </c>
      <c r="G867" s="180"/>
      <c r="H867" s="104">
        <f t="shared" si="62"/>
        <v>2697.07</v>
      </c>
      <c r="I867" s="104">
        <f t="shared" si="63"/>
        <v>2697.07</v>
      </c>
      <c r="J867" s="14"/>
      <c r="K867" s="39"/>
    </row>
    <row r="868" spans="1:11" ht="27" customHeight="1" outlineLevel="1" x14ac:dyDescent="0.2">
      <c r="A868" s="42" t="s">
        <v>1305</v>
      </c>
      <c r="B868" s="97">
        <v>43006</v>
      </c>
      <c r="C868" s="97">
        <v>43493</v>
      </c>
      <c r="D868" s="141">
        <v>80</v>
      </c>
      <c r="E868" s="180"/>
      <c r="F868" s="100">
        <v>6477.52</v>
      </c>
      <c r="G868" s="180"/>
      <c r="H868" s="104">
        <f t="shared" si="62"/>
        <v>6477.52</v>
      </c>
      <c r="I868" s="104">
        <f t="shared" si="63"/>
        <v>6477.52</v>
      </c>
      <c r="J868" s="14"/>
      <c r="K868" s="39"/>
    </row>
    <row r="869" spans="1:11" ht="27" customHeight="1" outlineLevel="1" x14ac:dyDescent="0.2">
      <c r="A869" s="42" t="s">
        <v>1306</v>
      </c>
      <c r="B869" s="97">
        <v>43006</v>
      </c>
      <c r="C869" s="97">
        <v>43465</v>
      </c>
      <c r="D869" s="141">
        <v>80</v>
      </c>
      <c r="E869" s="180"/>
      <c r="F869" s="182">
        <v>7005.8</v>
      </c>
      <c r="G869" s="180"/>
      <c r="H869" s="104">
        <f t="shared" si="62"/>
        <v>7005.8</v>
      </c>
      <c r="I869" s="104">
        <f t="shared" si="63"/>
        <v>7005.8</v>
      </c>
      <c r="J869" s="14"/>
      <c r="K869" s="39"/>
    </row>
    <row r="870" spans="1:11" ht="27" customHeight="1" outlineLevel="1" x14ac:dyDescent="0.2">
      <c r="A870" s="42" t="s">
        <v>1307</v>
      </c>
      <c r="B870" s="97">
        <v>43006</v>
      </c>
      <c r="C870" s="97">
        <v>43413</v>
      </c>
      <c r="D870" s="141">
        <v>90</v>
      </c>
      <c r="E870" s="180"/>
      <c r="F870" s="100">
        <v>35334.76</v>
      </c>
      <c r="G870" s="180"/>
      <c r="H870" s="104">
        <f t="shared" si="62"/>
        <v>35334.76</v>
      </c>
      <c r="I870" s="104">
        <f t="shared" si="63"/>
        <v>35334.76</v>
      </c>
      <c r="J870" s="14"/>
      <c r="K870" s="39"/>
    </row>
    <row r="871" spans="1:11" ht="27" customHeight="1" outlineLevel="1" x14ac:dyDescent="0.2">
      <c r="A871" s="42" t="s">
        <v>1308</v>
      </c>
      <c r="B871" s="97">
        <v>43006</v>
      </c>
      <c r="C871" s="97">
        <v>43833</v>
      </c>
      <c r="D871" s="141">
        <v>30</v>
      </c>
      <c r="E871" s="180"/>
      <c r="F871" s="100">
        <v>14752.26</v>
      </c>
      <c r="G871" s="180"/>
      <c r="H871" s="104">
        <f t="shared" si="62"/>
        <v>14752.26</v>
      </c>
      <c r="I871" s="104">
        <f t="shared" si="63"/>
        <v>14752.26</v>
      </c>
      <c r="J871" s="14"/>
      <c r="K871" s="39"/>
    </row>
    <row r="872" spans="1:11" ht="27" customHeight="1" outlineLevel="1" x14ac:dyDescent="0.2">
      <c r="A872" s="42" t="s">
        <v>1309</v>
      </c>
      <c r="B872" s="97">
        <v>43006</v>
      </c>
      <c r="C872" s="97">
        <v>43601</v>
      </c>
      <c r="D872" s="141">
        <v>30</v>
      </c>
      <c r="E872" s="180"/>
      <c r="F872" s="100">
        <v>9138.06</v>
      </c>
      <c r="G872" s="180"/>
      <c r="H872" s="104">
        <f t="shared" si="62"/>
        <v>9138.06</v>
      </c>
      <c r="I872" s="104">
        <f t="shared" si="63"/>
        <v>9138.06</v>
      </c>
      <c r="J872" s="14"/>
      <c r="K872" s="39"/>
    </row>
    <row r="873" spans="1:11" ht="51" customHeight="1" outlineLevel="1" x14ac:dyDescent="0.2">
      <c r="A873" s="42" t="s">
        <v>1310</v>
      </c>
      <c r="B873" s="97">
        <v>43312</v>
      </c>
      <c r="C873" s="97" t="s">
        <v>892</v>
      </c>
      <c r="D873" s="141"/>
      <c r="E873" s="100"/>
      <c r="F873" s="100">
        <v>2879.49</v>
      </c>
      <c r="G873" s="100"/>
      <c r="H873" s="104">
        <f t="shared" ref="H873:H891" si="64">E873+F873+G873</f>
        <v>2879.49</v>
      </c>
      <c r="I873" s="104">
        <f t="shared" ref="I873:I890" si="65">H873</f>
        <v>2879.49</v>
      </c>
      <c r="J873" s="14"/>
      <c r="K873" s="39"/>
    </row>
    <row r="874" spans="1:11" ht="48.75" customHeight="1" outlineLevel="1" x14ac:dyDescent="0.2">
      <c r="A874" s="42" t="s">
        <v>1311</v>
      </c>
      <c r="B874" s="97">
        <v>43006</v>
      </c>
      <c r="C874" s="97" t="s">
        <v>892</v>
      </c>
      <c r="D874" s="141"/>
      <c r="E874" s="100"/>
      <c r="F874" s="100">
        <v>4245.84</v>
      </c>
      <c r="G874" s="100"/>
      <c r="H874" s="104">
        <f t="shared" si="64"/>
        <v>4245.84</v>
      </c>
      <c r="I874" s="104">
        <f t="shared" si="65"/>
        <v>4245.84</v>
      </c>
      <c r="J874" s="14"/>
      <c r="K874" s="39"/>
    </row>
    <row r="875" spans="1:11" ht="50.25" customHeight="1" outlineLevel="1" x14ac:dyDescent="0.2">
      <c r="A875" s="42" t="s">
        <v>159</v>
      </c>
      <c r="B875" s="97">
        <v>43306</v>
      </c>
      <c r="C875" s="97" t="s">
        <v>892</v>
      </c>
      <c r="D875" s="141"/>
      <c r="E875" s="182">
        <v>115367.46</v>
      </c>
      <c r="F875" s="182"/>
      <c r="G875" s="100"/>
      <c r="H875" s="104">
        <f t="shared" si="64"/>
        <v>115367.46</v>
      </c>
      <c r="I875" s="104">
        <f t="shared" si="65"/>
        <v>115367.46</v>
      </c>
      <c r="J875" s="14"/>
      <c r="K875" s="39"/>
    </row>
    <row r="876" spans="1:11" ht="48" customHeight="1" outlineLevel="1" x14ac:dyDescent="0.2">
      <c r="A876" s="42" t="s">
        <v>1312</v>
      </c>
      <c r="B876" s="97">
        <v>43312</v>
      </c>
      <c r="C876" s="97" t="s">
        <v>892</v>
      </c>
      <c r="D876" s="141"/>
      <c r="E876" s="100"/>
      <c r="F876" s="182">
        <v>40721.82</v>
      </c>
      <c r="G876" s="100"/>
      <c r="H876" s="104">
        <f t="shared" si="64"/>
        <v>40721.82</v>
      </c>
      <c r="I876" s="104">
        <f t="shared" si="65"/>
        <v>40721.82</v>
      </c>
      <c r="J876" s="14"/>
      <c r="K876" s="39"/>
    </row>
    <row r="877" spans="1:11" ht="52.5" customHeight="1" outlineLevel="1" x14ac:dyDescent="0.2">
      <c r="A877" s="42" t="s">
        <v>160</v>
      </c>
      <c r="B877" s="97">
        <v>43306</v>
      </c>
      <c r="C877" s="97" t="s">
        <v>892</v>
      </c>
      <c r="D877" s="141"/>
      <c r="E877" s="100">
        <v>20230.349999999999</v>
      </c>
      <c r="F877" s="100">
        <v>21636.31</v>
      </c>
      <c r="G877" s="100"/>
      <c r="H877" s="104">
        <f t="shared" si="64"/>
        <v>41866.660000000003</v>
      </c>
      <c r="I877" s="104">
        <f t="shared" si="65"/>
        <v>41866.660000000003</v>
      </c>
      <c r="J877" s="14"/>
      <c r="K877" s="39"/>
    </row>
    <row r="878" spans="1:11" ht="52.5" customHeight="1" outlineLevel="1" x14ac:dyDescent="0.2">
      <c r="A878" s="42" t="s">
        <v>273</v>
      </c>
      <c r="B878" s="97">
        <v>43306</v>
      </c>
      <c r="C878" s="97" t="s">
        <v>892</v>
      </c>
      <c r="D878" s="141"/>
      <c r="E878" s="100">
        <v>6721.23</v>
      </c>
      <c r="F878" s="100">
        <v>15229.52</v>
      </c>
      <c r="G878" s="100"/>
      <c r="H878" s="104">
        <f t="shared" si="64"/>
        <v>21950.75</v>
      </c>
      <c r="I878" s="104">
        <f t="shared" si="65"/>
        <v>21950.75</v>
      </c>
      <c r="J878" s="14"/>
      <c r="K878" s="39"/>
    </row>
    <row r="879" spans="1:11" ht="58.5" customHeight="1" outlineLevel="1" x14ac:dyDescent="0.2">
      <c r="A879" s="42" t="s">
        <v>1313</v>
      </c>
      <c r="B879" s="97">
        <v>43006</v>
      </c>
      <c r="C879" s="97" t="s">
        <v>892</v>
      </c>
      <c r="D879" s="141"/>
      <c r="E879" s="182"/>
      <c r="F879" s="100">
        <v>1152.18</v>
      </c>
      <c r="G879" s="100"/>
      <c r="H879" s="104">
        <f t="shared" si="64"/>
        <v>1152.18</v>
      </c>
      <c r="I879" s="104">
        <f t="shared" si="65"/>
        <v>1152.18</v>
      </c>
      <c r="J879" s="14"/>
      <c r="K879" s="39"/>
    </row>
    <row r="880" spans="1:11" ht="27" customHeight="1" outlineLevel="1" x14ac:dyDescent="0.2">
      <c r="A880" s="42" t="s">
        <v>1314</v>
      </c>
      <c r="B880" s="97">
        <v>43091</v>
      </c>
      <c r="C880" s="97">
        <v>43585</v>
      </c>
      <c r="D880" s="141">
        <v>30</v>
      </c>
      <c r="E880" s="180"/>
      <c r="F880" s="100">
        <v>4414.0200000000004</v>
      </c>
      <c r="G880" s="180"/>
      <c r="H880" s="104">
        <f t="shared" si="64"/>
        <v>4414.0200000000004</v>
      </c>
      <c r="I880" s="104">
        <f t="shared" si="65"/>
        <v>4414.0200000000004</v>
      </c>
      <c r="J880" s="14"/>
      <c r="K880" s="39"/>
    </row>
    <row r="881" spans="1:11" ht="56.25" customHeight="1" outlineLevel="1" x14ac:dyDescent="0.2">
      <c r="A881" s="42" t="s">
        <v>893</v>
      </c>
      <c r="B881" s="97">
        <v>42795</v>
      </c>
      <c r="C881" s="97" t="s">
        <v>892</v>
      </c>
      <c r="D881" s="141"/>
      <c r="E881" s="182"/>
      <c r="F881" s="100">
        <v>10613.69</v>
      </c>
      <c r="G881" s="100"/>
      <c r="H881" s="104">
        <f t="shared" si="64"/>
        <v>10613.69</v>
      </c>
      <c r="I881" s="104">
        <f t="shared" si="65"/>
        <v>10613.69</v>
      </c>
      <c r="J881" s="14"/>
      <c r="K881" s="39"/>
    </row>
    <row r="882" spans="1:11" ht="27" customHeight="1" outlineLevel="1" x14ac:dyDescent="0.2">
      <c r="A882" s="42" t="s">
        <v>1</v>
      </c>
      <c r="B882" s="97">
        <v>42254</v>
      </c>
      <c r="C882" s="97">
        <v>43350</v>
      </c>
      <c r="D882" s="141">
        <v>80</v>
      </c>
      <c r="E882" s="99"/>
      <c r="F882" s="100">
        <v>75972.92</v>
      </c>
      <c r="G882" s="100"/>
      <c r="H882" s="104">
        <f t="shared" si="64"/>
        <v>75972.92</v>
      </c>
      <c r="I882" s="104">
        <f t="shared" si="65"/>
        <v>75972.92</v>
      </c>
      <c r="J882" s="14"/>
      <c r="K882" s="39"/>
    </row>
    <row r="883" spans="1:11" ht="27" customHeight="1" outlineLevel="1" x14ac:dyDescent="0.2">
      <c r="A883" s="42" t="s">
        <v>45</v>
      </c>
      <c r="B883" s="97">
        <v>42130</v>
      </c>
      <c r="C883" s="97">
        <v>43464</v>
      </c>
      <c r="D883" s="141">
        <v>50</v>
      </c>
      <c r="E883" s="184">
        <v>114000</v>
      </c>
      <c r="F883" s="100">
        <v>432924.35</v>
      </c>
      <c r="G883" s="180"/>
      <c r="H883" s="104">
        <f t="shared" si="64"/>
        <v>546924.35</v>
      </c>
      <c r="I883" s="104">
        <f t="shared" si="65"/>
        <v>546924.35</v>
      </c>
      <c r="J883" s="38"/>
      <c r="K883" s="38"/>
    </row>
    <row r="884" spans="1:11" ht="27" customHeight="1" outlineLevel="1" x14ac:dyDescent="0.2">
      <c r="A884" s="42" t="s">
        <v>2</v>
      </c>
      <c r="B884" s="97">
        <v>42234</v>
      </c>
      <c r="C884" s="97">
        <v>43736</v>
      </c>
      <c r="D884" s="141">
        <v>70</v>
      </c>
      <c r="E884" s="98"/>
      <c r="F884" s="98">
        <v>8263.65</v>
      </c>
      <c r="G884" s="100"/>
      <c r="H884" s="104">
        <f t="shared" si="64"/>
        <v>8263.65</v>
      </c>
      <c r="I884" s="104">
        <f t="shared" si="65"/>
        <v>8263.65</v>
      </c>
      <c r="J884" s="38"/>
      <c r="K884" s="38"/>
    </row>
    <row r="885" spans="1:11" ht="27" customHeight="1" outlineLevel="1" x14ac:dyDescent="0.2">
      <c r="A885" s="42" t="s">
        <v>46</v>
      </c>
      <c r="B885" s="97">
        <v>42382</v>
      </c>
      <c r="C885" s="97">
        <v>43465</v>
      </c>
      <c r="D885" s="141">
        <v>60</v>
      </c>
      <c r="E885" s="98"/>
      <c r="F885" s="98">
        <v>5623.87</v>
      </c>
      <c r="G885" s="100"/>
      <c r="H885" s="104">
        <f t="shared" si="64"/>
        <v>5623.87</v>
      </c>
      <c r="I885" s="104">
        <f t="shared" si="65"/>
        <v>5623.87</v>
      </c>
      <c r="J885" s="38"/>
      <c r="K885" s="38"/>
    </row>
    <row r="886" spans="1:11" ht="48" customHeight="1" outlineLevel="1" x14ac:dyDescent="0.2">
      <c r="A886" s="42" t="s">
        <v>3</v>
      </c>
      <c r="B886" s="97">
        <v>42248</v>
      </c>
      <c r="C886" s="97">
        <v>43344</v>
      </c>
      <c r="D886" s="141">
        <v>80</v>
      </c>
      <c r="E886" s="98"/>
      <c r="F886" s="100">
        <v>14455.49</v>
      </c>
      <c r="G886" s="100"/>
      <c r="H886" s="104">
        <f t="shared" si="64"/>
        <v>14455.49</v>
      </c>
      <c r="I886" s="104">
        <f t="shared" si="65"/>
        <v>14455.49</v>
      </c>
      <c r="J886" s="38"/>
      <c r="K886" s="38"/>
    </row>
    <row r="887" spans="1:11" ht="48" customHeight="1" outlineLevel="1" x14ac:dyDescent="0.2">
      <c r="A887" s="42" t="s">
        <v>407</v>
      </c>
      <c r="B887" s="97">
        <v>42234</v>
      </c>
      <c r="C887" s="97">
        <v>43465</v>
      </c>
      <c r="D887" s="141">
        <v>70</v>
      </c>
      <c r="E887" s="98"/>
      <c r="F887" s="98">
        <v>4046.07</v>
      </c>
      <c r="G887" s="100"/>
      <c r="H887" s="104">
        <f t="shared" si="64"/>
        <v>4046.07</v>
      </c>
      <c r="I887" s="104">
        <f t="shared" si="65"/>
        <v>4046.07</v>
      </c>
      <c r="J887" s="38"/>
      <c r="K887" s="38"/>
    </row>
    <row r="888" spans="1:11" ht="48" customHeight="1" outlineLevel="1" x14ac:dyDescent="0.2">
      <c r="A888" s="42" t="s">
        <v>408</v>
      </c>
      <c r="B888" s="97">
        <v>42262</v>
      </c>
      <c r="C888" s="97">
        <v>43465</v>
      </c>
      <c r="D888" s="141">
        <v>70</v>
      </c>
      <c r="E888" s="98"/>
      <c r="F888" s="98">
        <v>3493.44</v>
      </c>
      <c r="G888" s="100"/>
      <c r="H888" s="104">
        <f t="shared" si="64"/>
        <v>3493.44</v>
      </c>
      <c r="I888" s="104">
        <f t="shared" si="65"/>
        <v>3493.44</v>
      </c>
      <c r="J888" s="38"/>
      <c r="K888" s="38"/>
    </row>
    <row r="889" spans="1:11" ht="48" customHeight="1" outlineLevel="1" x14ac:dyDescent="0.2">
      <c r="A889" s="42" t="s">
        <v>47</v>
      </c>
      <c r="B889" s="97">
        <v>42458</v>
      </c>
      <c r="C889" s="97">
        <v>43552</v>
      </c>
      <c r="D889" s="141">
        <v>40</v>
      </c>
      <c r="E889" s="98"/>
      <c r="F889" s="98">
        <v>4820.46</v>
      </c>
      <c r="G889" s="100"/>
      <c r="H889" s="104">
        <f t="shared" si="64"/>
        <v>4820.46</v>
      </c>
      <c r="I889" s="104">
        <f t="shared" si="65"/>
        <v>4820.46</v>
      </c>
      <c r="J889" s="38"/>
      <c r="K889" s="38"/>
    </row>
    <row r="890" spans="1:11" ht="48" customHeight="1" outlineLevel="1" x14ac:dyDescent="0.2">
      <c r="A890" s="42" t="s">
        <v>409</v>
      </c>
      <c r="B890" s="97">
        <v>42101</v>
      </c>
      <c r="C890" s="97">
        <v>43554</v>
      </c>
      <c r="D890" s="141">
        <v>60</v>
      </c>
      <c r="E890" s="98"/>
      <c r="F890" s="98">
        <v>43952.2</v>
      </c>
      <c r="G890" s="100"/>
      <c r="H890" s="104">
        <f t="shared" si="64"/>
        <v>43952.2</v>
      </c>
      <c r="I890" s="104">
        <f t="shared" si="65"/>
        <v>43952.2</v>
      </c>
      <c r="J890" s="38"/>
      <c r="K890" s="38"/>
    </row>
    <row r="891" spans="1:11" ht="33" customHeight="1" x14ac:dyDescent="0.2">
      <c r="A891" s="146"/>
      <c r="B891" s="89"/>
      <c r="C891" s="108"/>
      <c r="D891" s="189"/>
      <c r="E891" s="48">
        <f>SUM(E806:E890)</f>
        <v>353800.06999999995</v>
      </c>
      <c r="F891" s="48">
        <f>SUM(F806:F890)</f>
        <v>1249304.0399999998</v>
      </c>
      <c r="G891" s="48">
        <f>SUM(G806:G890)</f>
        <v>0</v>
      </c>
      <c r="H891" s="48">
        <f t="shared" si="64"/>
        <v>1603104.1099999999</v>
      </c>
      <c r="I891" s="48">
        <f>SUM(I806:I890)</f>
        <v>1603104.1099999999</v>
      </c>
      <c r="J891" s="71"/>
      <c r="K891" s="115"/>
    </row>
    <row r="892" spans="1:11" s="44" customFormat="1" ht="24" x14ac:dyDescent="0.2">
      <c r="A892" s="40" t="s">
        <v>597</v>
      </c>
      <c r="B892" s="89"/>
      <c r="C892" s="89"/>
      <c r="D892" s="130"/>
      <c r="E892" s="58"/>
      <c r="F892" s="58"/>
      <c r="G892" s="58"/>
      <c r="H892" s="48"/>
      <c r="I892" s="48"/>
      <c r="J892" s="71"/>
      <c r="K892" s="115"/>
    </row>
    <row r="893" spans="1:11" s="44" customFormat="1" ht="24" outlineLevel="1" x14ac:dyDescent="0.2">
      <c r="A893" s="21" t="s">
        <v>493</v>
      </c>
      <c r="B893" s="90">
        <v>42850</v>
      </c>
      <c r="C893" s="89">
        <v>43190</v>
      </c>
      <c r="D893" s="130">
        <v>98</v>
      </c>
      <c r="E893" s="14">
        <v>16094.32</v>
      </c>
      <c r="F893" s="14"/>
      <c r="G893" s="14"/>
      <c r="H893" s="48">
        <f t="shared" ref="H893:H894" si="66">E893+F893+G893</f>
        <v>16094.32</v>
      </c>
      <c r="I893" s="43">
        <f t="shared" ref="I893:I894" si="67">H893</f>
        <v>16094.32</v>
      </c>
      <c r="J893" s="102"/>
      <c r="K893" s="71"/>
    </row>
    <row r="894" spans="1:11" s="44" customFormat="1" ht="24" outlineLevel="1" x14ac:dyDescent="0.2">
      <c r="A894" s="21" t="s">
        <v>614</v>
      </c>
      <c r="B894" s="90">
        <v>42440</v>
      </c>
      <c r="C894" s="89">
        <v>43465</v>
      </c>
      <c r="D894" s="130">
        <v>68</v>
      </c>
      <c r="E894" s="14"/>
      <c r="F894" s="14">
        <v>192699.69</v>
      </c>
      <c r="G894" s="14"/>
      <c r="H894" s="48">
        <f t="shared" si="66"/>
        <v>192699.69</v>
      </c>
      <c r="I894" s="43">
        <f t="shared" si="67"/>
        <v>192699.69</v>
      </c>
      <c r="J894" s="102"/>
      <c r="K894" s="71"/>
    </row>
    <row r="895" spans="1:11" s="44" customFormat="1" ht="24" outlineLevel="1" x14ac:dyDescent="0.2">
      <c r="A895" s="49" t="s">
        <v>610</v>
      </c>
      <c r="B895" s="108">
        <v>42478</v>
      </c>
      <c r="C895" s="108">
        <v>43465</v>
      </c>
      <c r="D895" s="159">
        <v>30</v>
      </c>
      <c r="E895" s="123"/>
      <c r="F895" s="123">
        <v>293300.28999999998</v>
      </c>
      <c r="G895" s="123"/>
      <c r="H895" s="33">
        <f>E895+F895+G895</f>
        <v>293300.28999999998</v>
      </c>
      <c r="I895" s="43">
        <f>H895</f>
        <v>293300.28999999998</v>
      </c>
      <c r="J895" s="73"/>
      <c r="K895" s="65"/>
    </row>
    <row r="896" spans="1:11" s="44" customFormat="1" ht="24" outlineLevel="1" x14ac:dyDescent="0.2">
      <c r="A896" s="21" t="s">
        <v>611</v>
      </c>
      <c r="B896" s="89">
        <v>42717</v>
      </c>
      <c r="C896" s="89">
        <v>43465</v>
      </c>
      <c r="D896" s="130">
        <v>40</v>
      </c>
      <c r="E896" s="14">
        <v>30444.33</v>
      </c>
      <c r="F896" s="14"/>
      <c r="G896" s="14"/>
      <c r="H896" s="48">
        <f>E896+F896+G896</f>
        <v>30444.33</v>
      </c>
      <c r="I896" s="43">
        <f>H896</f>
        <v>30444.33</v>
      </c>
      <c r="J896" s="102"/>
      <c r="K896" s="71"/>
    </row>
    <row r="897" spans="1:11" s="44" customFormat="1" ht="24" outlineLevel="1" x14ac:dyDescent="0.2">
      <c r="A897" s="21" t="s">
        <v>605</v>
      </c>
      <c r="B897" s="89">
        <v>42353</v>
      </c>
      <c r="C897" s="89">
        <v>43465</v>
      </c>
      <c r="D897" s="130">
        <v>40</v>
      </c>
      <c r="E897" s="14">
        <v>60902</v>
      </c>
      <c r="F897" s="14"/>
      <c r="G897" s="14"/>
      <c r="H897" s="48">
        <f t="shared" ref="H897:H900" si="68">E897+F897+G897</f>
        <v>60902</v>
      </c>
      <c r="I897" s="43">
        <f t="shared" ref="I897:I900" si="69">H897</f>
        <v>60902</v>
      </c>
      <c r="J897" s="102"/>
      <c r="K897" s="71"/>
    </row>
    <row r="898" spans="1:11" s="44" customFormat="1" ht="24" outlineLevel="1" x14ac:dyDescent="0.2">
      <c r="A898" s="21" t="s">
        <v>606</v>
      </c>
      <c r="B898" s="90">
        <v>42487</v>
      </c>
      <c r="C898" s="90">
        <v>43190</v>
      </c>
      <c r="D898" s="130">
        <v>98</v>
      </c>
      <c r="E898" s="14">
        <v>103348.97</v>
      </c>
      <c r="F898" s="14"/>
      <c r="G898" s="14"/>
      <c r="H898" s="48">
        <f t="shared" si="68"/>
        <v>103348.97</v>
      </c>
      <c r="I898" s="43">
        <f t="shared" si="69"/>
        <v>103348.97</v>
      </c>
      <c r="J898" s="102"/>
      <c r="K898" s="71"/>
    </row>
    <row r="899" spans="1:11" s="44" customFormat="1" outlineLevel="1" x14ac:dyDescent="0.2">
      <c r="A899" s="21" t="s">
        <v>607</v>
      </c>
      <c r="B899" s="89">
        <v>42579</v>
      </c>
      <c r="C899" s="89">
        <v>43465</v>
      </c>
      <c r="D899" s="130">
        <v>40</v>
      </c>
      <c r="E899" s="14"/>
      <c r="F899" s="14">
        <v>427733</v>
      </c>
      <c r="G899" s="14"/>
      <c r="H899" s="48">
        <f t="shared" si="68"/>
        <v>427733</v>
      </c>
      <c r="I899" s="43">
        <f t="shared" si="69"/>
        <v>427733</v>
      </c>
      <c r="J899" s="102"/>
      <c r="K899" s="71"/>
    </row>
    <row r="900" spans="1:11" s="44" customFormat="1" ht="24" outlineLevel="1" x14ac:dyDescent="0.2">
      <c r="A900" s="21" t="s">
        <v>608</v>
      </c>
      <c r="B900" s="90">
        <v>42702</v>
      </c>
      <c r="C900" s="89">
        <v>43190</v>
      </c>
      <c r="D900" s="130">
        <v>98</v>
      </c>
      <c r="E900" s="14">
        <v>137279.43</v>
      </c>
      <c r="F900" s="14"/>
      <c r="G900" s="14"/>
      <c r="H900" s="48">
        <f t="shared" si="68"/>
        <v>137279.43</v>
      </c>
      <c r="I900" s="43">
        <f t="shared" si="69"/>
        <v>137279.43</v>
      </c>
      <c r="J900" s="102"/>
      <c r="K900" s="71"/>
    </row>
    <row r="901" spans="1:11" s="44" customFormat="1" ht="24" outlineLevel="1" x14ac:dyDescent="0.2">
      <c r="A901" s="21" t="s">
        <v>599</v>
      </c>
      <c r="B901" s="90">
        <v>42788</v>
      </c>
      <c r="C901" s="89">
        <v>43465</v>
      </c>
      <c r="D901" s="130">
        <v>40</v>
      </c>
      <c r="E901" s="14">
        <v>53853.89</v>
      </c>
      <c r="F901" s="14"/>
      <c r="G901" s="14"/>
      <c r="H901" s="48">
        <f t="shared" ref="H901:H914" si="70">E901+F901+G901</f>
        <v>53853.89</v>
      </c>
      <c r="I901" s="43">
        <f t="shared" ref="I901:I914" si="71">H901</f>
        <v>53853.89</v>
      </c>
      <c r="J901" s="102"/>
      <c r="K901" s="71"/>
    </row>
    <row r="902" spans="1:11" s="44" customFormat="1" ht="24" outlineLevel="1" x14ac:dyDescent="0.2">
      <c r="A902" s="21" t="s">
        <v>600</v>
      </c>
      <c r="B902" s="90">
        <v>42398</v>
      </c>
      <c r="C902" s="89">
        <v>43465</v>
      </c>
      <c r="D902" s="130">
        <v>70</v>
      </c>
      <c r="E902" s="14">
        <v>69024</v>
      </c>
      <c r="F902" s="14">
        <v>51748.23</v>
      </c>
      <c r="G902" s="14"/>
      <c r="H902" s="48">
        <f t="shared" si="70"/>
        <v>120772.23000000001</v>
      </c>
      <c r="I902" s="43">
        <f t="shared" si="71"/>
        <v>120772.23000000001</v>
      </c>
      <c r="J902" s="102"/>
      <c r="K902" s="71"/>
    </row>
    <row r="903" spans="1:11" ht="24" outlineLevel="1" x14ac:dyDescent="0.2">
      <c r="A903" s="21" t="s">
        <v>601</v>
      </c>
      <c r="B903" s="90">
        <v>42713</v>
      </c>
      <c r="C903" s="89">
        <v>43465</v>
      </c>
      <c r="D903" s="130">
        <v>40</v>
      </c>
      <c r="E903" s="14">
        <v>19023</v>
      </c>
      <c r="F903" s="14"/>
      <c r="G903" s="14"/>
      <c r="H903" s="48">
        <f t="shared" si="70"/>
        <v>19023</v>
      </c>
      <c r="I903" s="43">
        <f t="shared" si="71"/>
        <v>19023</v>
      </c>
      <c r="J903" s="102"/>
      <c r="K903" s="71"/>
    </row>
    <row r="904" spans="1:11" s="44" customFormat="1" ht="24" outlineLevel="1" x14ac:dyDescent="0.2">
      <c r="A904" s="21" t="s">
        <v>609</v>
      </c>
      <c r="B904" s="90">
        <v>42766</v>
      </c>
      <c r="C904" s="89">
        <v>43190</v>
      </c>
      <c r="D904" s="130">
        <v>98</v>
      </c>
      <c r="E904" s="14">
        <v>75744</v>
      </c>
      <c r="F904" s="14">
        <v>154546.71</v>
      </c>
      <c r="G904" s="14"/>
      <c r="H904" s="48">
        <f t="shared" si="70"/>
        <v>230290.71</v>
      </c>
      <c r="I904" s="43">
        <f t="shared" si="71"/>
        <v>230290.71</v>
      </c>
      <c r="J904" s="102"/>
      <c r="K904" s="71"/>
    </row>
    <row r="905" spans="1:11" ht="24" outlineLevel="1" x14ac:dyDescent="0.2">
      <c r="A905" s="21" t="s">
        <v>602</v>
      </c>
      <c r="B905" s="90">
        <v>42674</v>
      </c>
      <c r="C905" s="89">
        <v>43465</v>
      </c>
      <c r="D905" s="130">
        <v>40</v>
      </c>
      <c r="E905" s="14">
        <v>16542.13</v>
      </c>
      <c r="F905" s="14"/>
      <c r="G905" s="14"/>
      <c r="H905" s="48">
        <f t="shared" si="70"/>
        <v>16542.13</v>
      </c>
      <c r="I905" s="43">
        <f t="shared" si="71"/>
        <v>16542.13</v>
      </c>
      <c r="J905" s="102"/>
      <c r="K905" s="71"/>
    </row>
    <row r="906" spans="1:11" s="44" customFormat="1" ht="24" outlineLevel="1" x14ac:dyDescent="0.2">
      <c r="A906" s="21" t="s">
        <v>451</v>
      </c>
      <c r="B906" s="90">
        <v>42814</v>
      </c>
      <c r="C906" s="89">
        <v>43465</v>
      </c>
      <c r="D906" s="130">
        <v>40</v>
      </c>
      <c r="E906" s="14">
        <v>12074.72</v>
      </c>
      <c r="F906" s="14">
        <v>11538.95</v>
      </c>
      <c r="G906" s="14"/>
      <c r="H906" s="48">
        <f t="shared" si="70"/>
        <v>23613.67</v>
      </c>
      <c r="I906" s="43">
        <f t="shared" si="71"/>
        <v>23613.67</v>
      </c>
      <c r="J906" s="102"/>
      <c r="K906" s="71"/>
    </row>
    <row r="907" spans="1:11" s="44" customFormat="1" ht="24" outlineLevel="1" x14ac:dyDescent="0.2">
      <c r="A907" s="21" t="s">
        <v>603</v>
      </c>
      <c r="B907" s="90">
        <v>42503</v>
      </c>
      <c r="C907" s="89">
        <v>43465</v>
      </c>
      <c r="D907" s="130">
        <v>65</v>
      </c>
      <c r="E907" s="14">
        <v>92509.65</v>
      </c>
      <c r="F907" s="14"/>
      <c r="G907" s="14"/>
      <c r="H907" s="48">
        <f t="shared" si="70"/>
        <v>92509.65</v>
      </c>
      <c r="I907" s="43">
        <f t="shared" si="71"/>
        <v>92509.65</v>
      </c>
      <c r="J907" s="102"/>
      <c r="K907" s="71"/>
    </row>
    <row r="908" spans="1:11" s="44" customFormat="1" ht="24" outlineLevel="1" x14ac:dyDescent="0.2">
      <c r="A908" s="21" t="s">
        <v>612</v>
      </c>
      <c r="B908" s="89">
        <v>42916</v>
      </c>
      <c r="C908" s="89">
        <v>43465</v>
      </c>
      <c r="D908" s="130">
        <v>40</v>
      </c>
      <c r="E908" s="14">
        <f>10100+78180</f>
        <v>88280</v>
      </c>
      <c r="F908" s="14">
        <v>1543028.97</v>
      </c>
      <c r="G908" s="14">
        <v>233531.54</v>
      </c>
      <c r="H908" s="48">
        <f>E908+F908+G908</f>
        <v>1864840.51</v>
      </c>
      <c r="I908" s="43">
        <f>H908</f>
        <v>1864840.51</v>
      </c>
      <c r="J908" s="102"/>
      <c r="K908" s="71"/>
    </row>
    <row r="909" spans="1:11" s="44" customFormat="1" ht="24" outlineLevel="1" x14ac:dyDescent="0.2">
      <c r="A909" s="21" t="s">
        <v>617</v>
      </c>
      <c r="B909" s="89">
        <v>42696</v>
      </c>
      <c r="C909" s="89">
        <v>43465</v>
      </c>
      <c r="D909" s="130">
        <v>40</v>
      </c>
      <c r="E909" s="14">
        <v>10444.33</v>
      </c>
      <c r="F909" s="14"/>
      <c r="G909" s="14"/>
      <c r="H909" s="48">
        <f t="shared" si="70"/>
        <v>10444.33</v>
      </c>
      <c r="I909" s="43">
        <f t="shared" si="71"/>
        <v>10444.33</v>
      </c>
      <c r="J909" s="102"/>
      <c r="K909" s="71"/>
    </row>
    <row r="910" spans="1:11" s="44" customFormat="1" ht="24" outlineLevel="1" x14ac:dyDescent="0.2">
      <c r="A910" s="21" t="s">
        <v>616</v>
      </c>
      <c r="B910" s="90">
        <v>42807</v>
      </c>
      <c r="C910" s="89">
        <v>43465</v>
      </c>
      <c r="D910" s="130">
        <v>40</v>
      </c>
      <c r="E910" s="14">
        <v>40524.26</v>
      </c>
      <c r="F910" s="14"/>
      <c r="G910" s="14"/>
      <c r="H910" s="48">
        <f t="shared" si="70"/>
        <v>40524.26</v>
      </c>
      <c r="I910" s="43">
        <f t="shared" si="71"/>
        <v>40524.26</v>
      </c>
      <c r="J910" s="102"/>
      <c r="K910" s="71"/>
    </row>
    <row r="911" spans="1:11" s="44" customFormat="1" ht="24" outlineLevel="1" x14ac:dyDescent="0.2">
      <c r="A911" s="21" t="s">
        <v>604</v>
      </c>
      <c r="B911" s="90">
        <v>42726</v>
      </c>
      <c r="C911" s="89">
        <v>43190</v>
      </c>
      <c r="D911" s="130">
        <v>98</v>
      </c>
      <c r="E911" s="14">
        <v>17553.330000000002</v>
      </c>
      <c r="F911" s="14">
        <v>66269.75</v>
      </c>
      <c r="G911" s="14"/>
      <c r="H911" s="48">
        <f t="shared" si="70"/>
        <v>83823.08</v>
      </c>
      <c r="I911" s="43">
        <f t="shared" si="71"/>
        <v>83823.08</v>
      </c>
      <c r="J911" s="102"/>
      <c r="K911" s="71"/>
    </row>
    <row r="912" spans="1:11" s="44" customFormat="1" ht="24" outlineLevel="1" x14ac:dyDescent="0.2">
      <c r="A912" s="21" t="s">
        <v>520</v>
      </c>
      <c r="B912" s="90">
        <v>42825</v>
      </c>
      <c r="C912" s="89">
        <v>43465</v>
      </c>
      <c r="D912" s="130">
        <v>70</v>
      </c>
      <c r="E912" s="14">
        <v>90908.79</v>
      </c>
      <c r="F912" s="14">
        <v>57225.55</v>
      </c>
      <c r="G912" s="14"/>
      <c r="H912" s="48">
        <f t="shared" si="70"/>
        <v>148134.34</v>
      </c>
      <c r="I912" s="43">
        <f t="shared" si="71"/>
        <v>148134.34</v>
      </c>
      <c r="J912" s="102"/>
      <c r="K912" s="71"/>
    </row>
    <row r="913" spans="1:11" s="44" customFormat="1" ht="24" outlineLevel="1" x14ac:dyDescent="0.2">
      <c r="A913" s="21" t="s">
        <v>619</v>
      </c>
      <c r="B913" s="90">
        <v>42807</v>
      </c>
      <c r="C913" s="89">
        <v>43465</v>
      </c>
      <c r="D913" s="130">
        <v>40</v>
      </c>
      <c r="E913" s="14">
        <v>10524.26</v>
      </c>
      <c r="F913" s="14"/>
      <c r="G913" s="14"/>
      <c r="H913" s="48">
        <f t="shared" si="70"/>
        <v>10524.26</v>
      </c>
      <c r="I913" s="43">
        <f t="shared" si="71"/>
        <v>10524.26</v>
      </c>
      <c r="J913" s="102"/>
      <c r="K913" s="71"/>
    </row>
    <row r="914" spans="1:11" s="44" customFormat="1" ht="24" outlineLevel="1" x14ac:dyDescent="0.2">
      <c r="A914" s="21" t="s">
        <v>618</v>
      </c>
      <c r="B914" s="89">
        <v>42605</v>
      </c>
      <c r="C914" s="89">
        <v>43465</v>
      </c>
      <c r="D914" s="130">
        <v>40</v>
      </c>
      <c r="E914" s="14">
        <v>60588</v>
      </c>
      <c r="F914" s="14">
        <v>147661.53</v>
      </c>
      <c r="G914" s="14"/>
      <c r="H914" s="48">
        <f t="shared" si="70"/>
        <v>208249.53</v>
      </c>
      <c r="I914" s="43">
        <f t="shared" si="71"/>
        <v>208249.53</v>
      </c>
      <c r="J914" s="102"/>
      <c r="K914" s="71"/>
    </row>
    <row r="915" spans="1:11" s="44" customFormat="1" ht="24" outlineLevel="1" x14ac:dyDescent="0.2">
      <c r="A915" s="41" t="s">
        <v>570</v>
      </c>
      <c r="B915" s="108">
        <v>42627</v>
      </c>
      <c r="C915" s="89">
        <v>43465</v>
      </c>
      <c r="D915" s="158">
        <v>90</v>
      </c>
      <c r="E915" s="124">
        <f>2604.88+10524.26</f>
        <v>13129.14</v>
      </c>
      <c r="F915" s="124">
        <v>33262.730000000003</v>
      </c>
      <c r="G915" s="123">
        <v>39331.35</v>
      </c>
      <c r="H915" s="33">
        <f t="shared" ref="H915:H976" si="72">E915+F915+G915</f>
        <v>85723.22</v>
      </c>
      <c r="I915" s="43">
        <f t="shared" ref="I915:I976" si="73">H915</f>
        <v>85723.22</v>
      </c>
      <c r="J915" s="102"/>
      <c r="K915" s="71"/>
    </row>
    <row r="916" spans="1:11" s="44" customFormat="1" ht="24" outlineLevel="1" x14ac:dyDescent="0.2">
      <c r="A916" s="49" t="s">
        <v>454</v>
      </c>
      <c r="B916" s="108">
        <v>42745</v>
      </c>
      <c r="C916" s="89">
        <v>43465</v>
      </c>
      <c r="D916" s="159">
        <v>90</v>
      </c>
      <c r="E916" s="123">
        <v>19823.04</v>
      </c>
      <c r="F916" s="123"/>
      <c r="G916" s="123"/>
      <c r="H916" s="33">
        <f t="shared" si="72"/>
        <v>19823.04</v>
      </c>
      <c r="I916" s="43">
        <f t="shared" si="73"/>
        <v>19823.04</v>
      </c>
      <c r="J916" s="102"/>
      <c r="K916" s="71"/>
    </row>
    <row r="917" spans="1:11" s="44" customFormat="1" ht="24" outlineLevel="1" x14ac:dyDescent="0.2">
      <c r="A917" s="49" t="s">
        <v>532</v>
      </c>
      <c r="B917" s="108">
        <v>42761</v>
      </c>
      <c r="C917" s="89">
        <v>43465</v>
      </c>
      <c r="D917" s="159">
        <v>70</v>
      </c>
      <c r="E917" s="123">
        <v>11864.41</v>
      </c>
      <c r="F917" s="123"/>
      <c r="G917" s="123"/>
      <c r="H917" s="33">
        <f t="shared" si="72"/>
        <v>11864.41</v>
      </c>
      <c r="I917" s="43">
        <f t="shared" si="73"/>
        <v>11864.41</v>
      </c>
      <c r="J917" s="102"/>
      <c r="K917" s="71"/>
    </row>
    <row r="918" spans="1:11" s="44" customFormat="1" ht="24" outlineLevel="1" x14ac:dyDescent="0.2">
      <c r="A918" s="49" t="s">
        <v>548</v>
      </c>
      <c r="B918" s="108">
        <v>42712</v>
      </c>
      <c r="C918" s="89">
        <v>43465</v>
      </c>
      <c r="D918" s="159">
        <v>60</v>
      </c>
      <c r="E918" s="123">
        <v>88635.6</v>
      </c>
      <c r="F918" s="123"/>
      <c r="G918" s="123"/>
      <c r="H918" s="33">
        <f t="shared" si="72"/>
        <v>88635.6</v>
      </c>
      <c r="I918" s="43">
        <f t="shared" si="73"/>
        <v>88635.6</v>
      </c>
      <c r="J918" s="102"/>
      <c r="K918" s="71"/>
    </row>
    <row r="919" spans="1:11" s="44" customFormat="1" ht="24" outlineLevel="1" x14ac:dyDescent="0.2">
      <c r="A919" s="49" t="s">
        <v>517</v>
      </c>
      <c r="B919" s="108">
        <v>42626</v>
      </c>
      <c r="C919" s="89">
        <v>43465</v>
      </c>
      <c r="D919" s="159">
        <v>90</v>
      </c>
      <c r="E919" s="123"/>
      <c r="F919" s="123"/>
      <c r="G919" s="123">
        <v>588.14</v>
      </c>
      <c r="H919" s="33">
        <f t="shared" si="72"/>
        <v>588.14</v>
      </c>
      <c r="I919" s="43">
        <f t="shared" si="73"/>
        <v>588.14</v>
      </c>
      <c r="J919" s="102"/>
      <c r="K919" s="71"/>
    </row>
    <row r="920" spans="1:11" s="44" customFormat="1" ht="24" outlineLevel="1" x14ac:dyDescent="0.2">
      <c r="A920" s="49" t="s">
        <v>448</v>
      </c>
      <c r="B920" s="108">
        <v>42545</v>
      </c>
      <c r="C920" s="89">
        <v>43465</v>
      </c>
      <c r="D920" s="159">
        <v>80</v>
      </c>
      <c r="E920" s="123"/>
      <c r="F920" s="123"/>
      <c r="G920" s="123">
        <v>588.14</v>
      </c>
      <c r="H920" s="33">
        <f t="shared" si="72"/>
        <v>588.14</v>
      </c>
      <c r="I920" s="43">
        <f t="shared" si="73"/>
        <v>588.14</v>
      </c>
      <c r="J920" s="102"/>
      <c r="K920" s="71"/>
    </row>
    <row r="921" spans="1:11" s="44" customFormat="1" ht="24" outlineLevel="1" x14ac:dyDescent="0.2">
      <c r="A921" s="49" t="s">
        <v>550</v>
      </c>
      <c r="B921" s="108">
        <v>42649</v>
      </c>
      <c r="C921" s="89">
        <v>43465</v>
      </c>
      <c r="D921" s="159">
        <v>60</v>
      </c>
      <c r="E921" s="123">
        <v>21091</v>
      </c>
      <c r="F921" s="123"/>
      <c r="G921" s="123"/>
      <c r="H921" s="33">
        <f t="shared" si="72"/>
        <v>21091</v>
      </c>
      <c r="I921" s="43">
        <f t="shared" si="73"/>
        <v>21091</v>
      </c>
      <c r="J921" s="102"/>
      <c r="K921" s="71"/>
    </row>
    <row r="922" spans="1:11" s="44" customFormat="1" ht="24" outlineLevel="1" x14ac:dyDescent="0.2">
      <c r="A922" s="49" t="s">
        <v>473</v>
      </c>
      <c r="B922" s="108">
        <v>42954</v>
      </c>
      <c r="C922" s="89">
        <v>43465</v>
      </c>
      <c r="D922" s="159">
        <v>70</v>
      </c>
      <c r="E922" s="123">
        <v>20198.39</v>
      </c>
      <c r="F922" s="123">
        <v>229262.64</v>
      </c>
      <c r="G922" s="123"/>
      <c r="H922" s="33">
        <f t="shared" si="72"/>
        <v>249461.03000000003</v>
      </c>
      <c r="I922" s="43">
        <f t="shared" si="73"/>
        <v>249461.03000000003</v>
      </c>
      <c r="J922" s="102"/>
      <c r="K922" s="71"/>
    </row>
    <row r="923" spans="1:11" s="44" customFormat="1" ht="24" outlineLevel="1" x14ac:dyDescent="0.2">
      <c r="A923" s="49" t="s">
        <v>584</v>
      </c>
      <c r="B923" s="108">
        <v>42993</v>
      </c>
      <c r="C923" s="89">
        <v>43465</v>
      </c>
      <c r="D923" s="159">
        <v>40</v>
      </c>
      <c r="E923" s="123">
        <v>19165.21</v>
      </c>
      <c r="F923" s="123">
        <v>84593.77</v>
      </c>
      <c r="G923" s="123"/>
      <c r="H923" s="33">
        <f t="shared" si="72"/>
        <v>103758.98000000001</v>
      </c>
      <c r="I923" s="43">
        <f t="shared" si="73"/>
        <v>103758.98000000001</v>
      </c>
      <c r="J923" s="102"/>
      <c r="K923" s="71"/>
    </row>
    <row r="924" spans="1:11" s="44" customFormat="1" ht="24" outlineLevel="1" x14ac:dyDescent="0.2">
      <c r="A924" s="49" t="s">
        <v>535</v>
      </c>
      <c r="B924" s="108">
        <v>42522</v>
      </c>
      <c r="C924" s="89">
        <v>43465</v>
      </c>
      <c r="D924" s="159">
        <v>85</v>
      </c>
      <c r="E924" s="123"/>
      <c r="F924" s="123">
        <v>1178.83</v>
      </c>
      <c r="G924" s="123"/>
      <c r="H924" s="33">
        <f t="shared" si="72"/>
        <v>1178.83</v>
      </c>
      <c r="I924" s="43">
        <f t="shared" si="73"/>
        <v>1178.83</v>
      </c>
      <c r="J924" s="102"/>
      <c r="K924" s="71"/>
    </row>
    <row r="925" spans="1:11" s="44" customFormat="1" ht="24" outlineLevel="1" x14ac:dyDescent="0.2">
      <c r="A925" s="49" t="s">
        <v>558</v>
      </c>
      <c r="B925" s="108">
        <v>42985</v>
      </c>
      <c r="C925" s="89">
        <v>43465</v>
      </c>
      <c r="D925" s="159">
        <v>50</v>
      </c>
      <c r="E925" s="123">
        <v>16401.330000000002</v>
      </c>
      <c r="F925" s="123"/>
      <c r="G925" s="123"/>
      <c r="H925" s="33">
        <f t="shared" si="72"/>
        <v>16401.330000000002</v>
      </c>
      <c r="I925" s="43">
        <f t="shared" si="73"/>
        <v>16401.330000000002</v>
      </c>
      <c r="J925" s="102"/>
      <c r="K925" s="71"/>
    </row>
    <row r="926" spans="1:11" s="44" customFormat="1" ht="24" outlineLevel="1" x14ac:dyDescent="0.2">
      <c r="A926" s="49" t="s">
        <v>466</v>
      </c>
      <c r="B926" s="108">
        <v>42962</v>
      </c>
      <c r="C926" s="89">
        <v>43465</v>
      </c>
      <c r="D926" s="159">
        <v>95</v>
      </c>
      <c r="E926" s="123">
        <v>52467.67</v>
      </c>
      <c r="F926" s="123">
        <v>97104.15</v>
      </c>
      <c r="G926" s="123"/>
      <c r="H926" s="33">
        <f t="shared" si="72"/>
        <v>149571.82</v>
      </c>
      <c r="I926" s="43">
        <f t="shared" si="73"/>
        <v>149571.82</v>
      </c>
      <c r="J926" s="102"/>
      <c r="K926" s="71"/>
    </row>
    <row r="927" spans="1:11" s="44" customFormat="1" ht="24" outlineLevel="1" x14ac:dyDescent="0.2">
      <c r="A927" s="49" t="s">
        <v>589</v>
      </c>
      <c r="B927" s="108">
        <v>43039</v>
      </c>
      <c r="C927" s="89">
        <v>43465</v>
      </c>
      <c r="D927" s="159">
        <v>80</v>
      </c>
      <c r="E927" s="123">
        <v>9287.1</v>
      </c>
      <c r="F927" s="123">
        <v>28545.91</v>
      </c>
      <c r="G927" s="123"/>
      <c r="H927" s="33">
        <f t="shared" si="72"/>
        <v>37833.01</v>
      </c>
      <c r="I927" s="43">
        <f t="shared" si="73"/>
        <v>37833.01</v>
      </c>
      <c r="J927" s="102"/>
      <c r="K927" s="71"/>
    </row>
    <row r="928" spans="1:11" s="44" customFormat="1" ht="24" outlineLevel="1" x14ac:dyDescent="0.2">
      <c r="A928" s="49" t="s">
        <v>595</v>
      </c>
      <c r="B928" s="108">
        <v>43012</v>
      </c>
      <c r="C928" s="89">
        <v>43465</v>
      </c>
      <c r="D928" s="159">
        <v>40</v>
      </c>
      <c r="E928" s="123">
        <v>11323.44</v>
      </c>
      <c r="F928" s="123"/>
      <c r="G928" s="123"/>
      <c r="H928" s="33">
        <f t="shared" si="72"/>
        <v>11323.44</v>
      </c>
      <c r="I928" s="43">
        <f t="shared" si="73"/>
        <v>11323.44</v>
      </c>
      <c r="J928" s="102"/>
      <c r="K928" s="71"/>
    </row>
    <row r="929" spans="1:11" s="44" customFormat="1" ht="24" outlineLevel="1" x14ac:dyDescent="0.2">
      <c r="A929" s="49" t="s">
        <v>546</v>
      </c>
      <c r="B929" s="108">
        <v>42972</v>
      </c>
      <c r="C929" s="89">
        <v>43465</v>
      </c>
      <c r="D929" s="159">
        <v>40</v>
      </c>
      <c r="E929" s="123">
        <v>6461.66</v>
      </c>
      <c r="F929" s="123">
        <v>27224.240000000002</v>
      </c>
      <c r="G929" s="123"/>
      <c r="H929" s="33">
        <f t="shared" si="72"/>
        <v>33685.9</v>
      </c>
      <c r="I929" s="43">
        <f t="shared" si="73"/>
        <v>33685.9</v>
      </c>
      <c r="J929" s="102"/>
      <c r="K929" s="71"/>
    </row>
    <row r="930" spans="1:11" s="44" customFormat="1" ht="24" outlineLevel="1" x14ac:dyDescent="0.2">
      <c r="A930" s="49" t="s">
        <v>509</v>
      </c>
      <c r="B930" s="108">
        <v>42977</v>
      </c>
      <c r="C930" s="89">
        <v>43465</v>
      </c>
      <c r="D930" s="159">
        <v>40</v>
      </c>
      <c r="E930" s="123">
        <v>9287.1</v>
      </c>
      <c r="F930" s="123">
        <v>116725.64</v>
      </c>
      <c r="G930" s="123"/>
      <c r="H930" s="33">
        <f t="shared" si="72"/>
        <v>126012.74</v>
      </c>
      <c r="I930" s="43">
        <f t="shared" si="73"/>
        <v>126012.74</v>
      </c>
      <c r="J930" s="102"/>
      <c r="K930" s="71"/>
    </row>
    <row r="931" spans="1:11" s="44" customFormat="1" ht="24" outlineLevel="1" x14ac:dyDescent="0.2">
      <c r="A931" s="49" t="s">
        <v>566</v>
      </c>
      <c r="B931" s="108">
        <v>42920</v>
      </c>
      <c r="C931" s="89">
        <v>43465</v>
      </c>
      <c r="D931" s="159">
        <v>40</v>
      </c>
      <c r="E931" s="123">
        <v>15642.1</v>
      </c>
      <c r="F931" s="123">
        <v>80452.240000000005</v>
      </c>
      <c r="G931" s="123"/>
      <c r="H931" s="33">
        <f t="shared" si="72"/>
        <v>96094.340000000011</v>
      </c>
      <c r="I931" s="43">
        <f t="shared" si="73"/>
        <v>96094.340000000011</v>
      </c>
      <c r="J931" s="102"/>
      <c r="K931" s="71"/>
    </row>
    <row r="932" spans="1:11" s="44" customFormat="1" ht="24" outlineLevel="1" x14ac:dyDescent="0.2">
      <c r="A932" s="49" t="s">
        <v>593</v>
      </c>
      <c r="B932" s="108">
        <v>42684</v>
      </c>
      <c r="C932" s="89">
        <v>43465</v>
      </c>
      <c r="D932" s="159">
        <v>60</v>
      </c>
      <c r="E932" s="122">
        <v>16727.45</v>
      </c>
      <c r="F932" s="122">
        <v>78729.02</v>
      </c>
      <c r="G932" s="123"/>
      <c r="H932" s="33">
        <f t="shared" si="72"/>
        <v>95456.47</v>
      </c>
      <c r="I932" s="43">
        <f t="shared" si="73"/>
        <v>95456.47</v>
      </c>
      <c r="J932" s="102"/>
      <c r="K932" s="71"/>
    </row>
    <row r="933" spans="1:11" s="44" customFormat="1" ht="24" outlineLevel="1" x14ac:dyDescent="0.2">
      <c r="A933" s="49" t="s">
        <v>1421</v>
      </c>
      <c r="B933" s="108">
        <v>42754</v>
      </c>
      <c r="C933" s="89">
        <v>43465</v>
      </c>
      <c r="D933" s="159">
        <v>60</v>
      </c>
      <c r="E933" s="123">
        <v>19072.89</v>
      </c>
      <c r="F933" s="123">
        <v>29193.08</v>
      </c>
      <c r="G933" s="123"/>
      <c r="H933" s="33">
        <f t="shared" si="72"/>
        <v>48265.97</v>
      </c>
      <c r="I933" s="43">
        <f t="shared" si="73"/>
        <v>48265.97</v>
      </c>
      <c r="J933" s="102"/>
      <c r="K933" s="71"/>
    </row>
    <row r="934" spans="1:11" s="44" customFormat="1" ht="24" outlineLevel="1" x14ac:dyDescent="0.2">
      <c r="A934" s="49" t="s">
        <v>559</v>
      </c>
      <c r="B934" s="108">
        <v>42712</v>
      </c>
      <c r="C934" s="89">
        <v>43465</v>
      </c>
      <c r="D934" s="159">
        <v>95</v>
      </c>
      <c r="E934" s="122">
        <v>17276.04</v>
      </c>
      <c r="F934" s="122">
        <v>48209.62</v>
      </c>
      <c r="G934" s="123"/>
      <c r="H934" s="33">
        <f t="shared" si="72"/>
        <v>65485.66</v>
      </c>
      <c r="I934" s="43">
        <f t="shared" si="73"/>
        <v>65485.66</v>
      </c>
      <c r="J934" s="102"/>
      <c r="K934" s="71"/>
    </row>
    <row r="935" spans="1:11" s="44" customFormat="1" ht="24" outlineLevel="1" x14ac:dyDescent="0.2">
      <c r="A935" s="49" t="s">
        <v>469</v>
      </c>
      <c r="B935" s="108">
        <v>42801</v>
      </c>
      <c r="C935" s="89">
        <v>43465</v>
      </c>
      <c r="D935" s="159">
        <v>60</v>
      </c>
      <c r="E935" s="123">
        <v>8330.75</v>
      </c>
      <c r="F935" s="123"/>
      <c r="G935" s="123"/>
      <c r="H935" s="33">
        <f t="shared" si="72"/>
        <v>8330.75</v>
      </c>
      <c r="I935" s="43">
        <f t="shared" si="73"/>
        <v>8330.75</v>
      </c>
      <c r="J935" s="102"/>
      <c r="K935" s="71"/>
    </row>
    <row r="936" spans="1:11" s="44" customFormat="1" ht="24" outlineLevel="1" x14ac:dyDescent="0.2">
      <c r="A936" s="49" t="s">
        <v>575</v>
      </c>
      <c r="B936" s="108">
        <v>42976</v>
      </c>
      <c r="C936" s="89">
        <v>43465</v>
      </c>
      <c r="D936" s="159">
        <v>60</v>
      </c>
      <c r="E936" s="122">
        <v>13612.44</v>
      </c>
      <c r="F936" s="122"/>
      <c r="G936" s="123"/>
      <c r="H936" s="33">
        <f t="shared" si="72"/>
        <v>13612.44</v>
      </c>
      <c r="I936" s="43">
        <f t="shared" si="73"/>
        <v>13612.44</v>
      </c>
      <c r="J936" s="102"/>
      <c r="K936" s="71"/>
    </row>
    <row r="937" spans="1:11" s="44" customFormat="1" ht="24" outlineLevel="1" x14ac:dyDescent="0.2">
      <c r="A937" s="49" t="s">
        <v>590</v>
      </c>
      <c r="B937" s="108">
        <v>42510</v>
      </c>
      <c r="C937" s="89">
        <v>43465</v>
      </c>
      <c r="D937" s="159">
        <v>60</v>
      </c>
      <c r="E937" s="123">
        <v>13505.78</v>
      </c>
      <c r="F937" s="122">
        <v>81946.31</v>
      </c>
      <c r="G937" s="123"/>
      <c r="H937" s="33">
        <f t="shared" si="72"/>
        <v>95452.09</v>
      </c>
      <c r="I937" s="43">
        <f t="shared" si="73"/>
        <v>95452.09</v>
      </c>
      <c r="J937" s="102"/>
      <c r="K937" s="71"/>
    </row>
    <row r="938" spans="1:11" s="44" customFormat="1" ht="24" outlineLevel="1" x14ac:dyDescent="0.2">
      <c r="A938" s="49" t="s">
        <v>460</v>
      </c>
      <c r="B938" s="108">
        <v>42387</v>
      </c>
      <c r="C938" s="89">
        <v>43465</v>
      </c>
      <c r="D938" s="159">
        <v>60</v>
      </c>
      <c r="E938" s="123">
        <v>47725.47</v>
      </c>
      <c r="F938" s="123"/>
      <c r="G938" s="123"/>
      <c r="H938" s="33">
        <f t="shared" si="72"/>
        <v>47725.47</v>
      </c>
      <c r="I938" s="43">
        <f t="shared" si="73"/>
        <v>47725.47</v>
      </c>
      <c r="J938" s="102"/>
      <c r="K938" s="71"/>
    </row>
    <row r="939" spans="1:11" s="44" customFormat="1" ht="24" outlineLevel="1" x14ac:dyDescent="0.2">
      <c r="A939" s="49" t="s">
        <v>582</v>
      </c>
      <c r="B939" s="108">
        <v>42549</v>
      </c>
      <c r="C939" s="89">
        <v>43465</v>
      </c>
      <c r="D939" s="159">
        <v>60</v>
      </c>
      <c r="E939" s="123">
        <v>14301.56</v>
      </c>
      <c r="F939" s="123"/>
      <c r="G939" s="123"/>
      <c r="H939" s="33">
        <f t="shared" si="72"/>
        <v>14301.56</v>
      </c>
      <c r="I939" s="43">
        <f t="shared" si="73"/>
        <v>14301.56</v>
      </c>
      <c r="J939" s="102"/>
      <c r="K939" s="71"/>
    </row>
    <row r="940" spans="1:11" s="44" customFormat="1" ht="24" outlineLevel="1" x14ac:dyDescent="0.2">
      <c r="A940" s="49" t="s">
        <v>527</v>
      </c>
      <c r="B940" s="108">
        <v>43084</v>
      </c>
      <c r="C940" s="89">
        <v>43465</v>
      </c>
      <c r="D940" s="159">
        <v>55</v>
      </c>
      <c r="E940" s="123">
        <v>43822.13</v>
      </c>
      <c r="F940" s="123">
        <v>56315.86</v>
      </c>
      <c r="G940" s="123"/>
      <c r="H940" s="33">
        <f t="shared" si="72"/>
        <v>100137.98999999999</v>
      </c>
      <c r="I940" s="43">
        <f t="shared" si="73"/>
        <v>100137.98999999999</v>
      </c>
      <c r="J940" s="102"/>
      <c r="K940" s="71"/>
    </row>
    <row r="941" spans="1:11" s="44" customFormat="1" ht="24" outlineLevel="1" x14ac:dyDescent="0.2">
      <c r="A941" s="49" t="s">
        <v>432</v>
      </c>
      <c r="B941" s="108">
        <v>42697</v>
      </c>
      <c r="C941" s="89">
        <v>43465</v>
      </c>
      <c r="D941" s="159">
        <v>50</v>
      </c>
      <c r="E941" s="123">
        <v>6435.7</v>
      </c>
      <c r="F941" s="123"/>
      <c r="G941" s="123"/>
      <c r="H941" s="33">
        <f t="shared" si="72"/>
        <v>6435.7</v>
      </c>
      <c r="I941" s="43">
        <f t="shared" si="73"/>
        <v>6435.7</v>
      </c>
      <c r="J941" s="102"/>
      <c r="K941" s="71"/>
    </row>
    <row r="942" spans="1:11" s="44" customFormat="1" ht="24" outlineLevel="1" x14ac:dyDescent="0.2">
      <c r="A942" s="49" t="s">
        <v>579</v>
      </c>
      <c r="B942" s="108">
        <v>42626</v>
      </c>
      <c r="C942" s="89">
        <v>43465</v>
      </c>
      <c r="D942" s="159">
        <v>60</v>
      </c>
      <c r="E942" s="123">
        <v>12871.4</v>
      </c>
      <c r="F942" s="123"/>
      <c r="G942" s="123"/>
      <c r="H942" s="33">
        <f t="shared" si="72"/>
        <v>12871.4</v>
      </c>
      <c r="I942" s="43">
        <f t="shared" si="73"/>
        <v>12871.4</v>
      </c>
      <c r="J942" s="102"/>
      <c r="K942" s="71"/>
    </row>
    <row r="943" spans="1:11" s="44" customFormat="1" ht="24" outlineLevel="1" x14ac:dyDescent="0.2">
      <c r="A943" s="49" t="s">
        <v>581</v>
      </c>
      <c r="B943" s="108">
        <v>42390</v>
      </c>
      <c r="C943" s="89">
        <v>43465</v>
      </c>
      <c r="D943" s="159">
        <v>60</v>
      </c>
      <c r="E943" s="123">
        <v>22679.43</v>
      </c>
      <c r="F943" s="123">
        <v>137613.41</v>
      </c>
      <c r="G943" s="123"/>
      <c r="H943" s="33">
        <f t="shared" si="72"/>
        <v>160292.84</v>
      </c>
      <c r="I943" s="43">
        <f t="shared" si="73"/>
        <v>160292.84</v>
      </c>
      <c r="J943" s="102"/>
      <c r="K943" s="71"/>
    </row>
    <row r="944" spans="1:11" s="44" customFormat="1" ht="24" outlineLevel="1" x14ac:dyDescent="0.2">
      <c r="A944" s="49" t="s">
        <v>594</v>
      </c>
      <c r="B944" s="108">
        <v>43111</v>
      </c>
      <c r="C944" s="89">
        <v>43465</v>
      </c>
      <c r="D944" s="159">
        <v>40</v>
      </c>
      <c r="E944" s="122">
        <v>27171.83</v>
      </c>
      <c r="F944" s="122"/>
      <c r="G944" s="123"/>
      <c r="H944" s="33">
        <f t="shared" si="72"/>
        <v>27171.83</v>
      </c>
      <c r="I944" s="43">
        <f t="shared" si="73"/>
        <v>27171.83</v>
      </c>
      <c r="J944" s="102"/>
      <c r="K944" s="71"/>
    </row>
    <row r="945" spans="1:11" s="44" customFormat="1" ht="24" outlineLevel="1" x14ac:dyDescent="0.2">
      <c r="A945" s="49" t="s">
        <v>502</v>
      </c>
      <c r="B945" s="108">
        <v>42762</v>
      </c>
      <c r="C945" s="89">
        <v>43465</v>
      </c>
      <c r="D945" s="159">
        <v>40</v>
      </c>
      <c r="E945" s="123">
        <v>7150.78</v>
      </c>
      <c r="F945" s="123">
        <v>118765.3</v>
      </c>
      <c r="G945" s="123"/>
      <c r="H945" s="33">
        <f t="shared" si="72"/>
        <v>125916.08</v>
      </c>
      <c r="I945" s="43">
        <f t="shared" si="73"/>
        <v>125916.08</v>
      </c>
      <c r="J945" s="102"/>
      <c r="K945" s="71"/>
    </row>
    <row r="946" spans="1:11" s="44" customFormat="1" ht="24" outlineLevel="1" x14ac:dyDescent="0.2">
      <c r="A946" s="49" t="s">
        <v>528</v>
      </c>
      <c r="B946" s="108">
        <v>42761</v>
      </c>
      <c r="C946" s="89">
        <v>43465</v>
      </c>
      <c r="D946" s="159">
        <v>80</v>
      </c>
      <c r="E946" s="123">
        <v>1633.94</v>
      </c>
      <c r="F946" s="123">
        <v>40678.15</v>
      </c>
      <c r="G946" s="123"/>
      <c r="H946" s="33">
        <f t="shared" si="72"/>
        <v>42312.090000000004</v>
      </c>
      <c r="I946" s="43">
        <f t="shared" si="73"/>
        <v>42312.090000000004</v>
      </c>
      <c r="J946" s="102"/>
      <c r="K946" s="71"/>
    </row>
    <row r="947" spans="1:11" s="44" customFormat="1" ht="24" outlineLevel="1" x14ac:dyDescent="0.2">
      <c r="A947" s="21" t="s">
        <v>613</v>
      </c>
      <c r="B947" s="90">
        <v>42745</v>
      </c>
      <c r="C947" s="89">
        <v>43465</v>
      </c>
      <c r="D947" s="130">
        <v>94</v>
      </c>
      <c r="E947" s="14">
        <v>10444.33</v>
      </c>
      <c r="F947" s="14">
        <v>44485.98</v>
      </c>
      <c r="G947" s="14"/>
      <c r="H947" s="48">
        <f t="shared" si="72"/>
        <v>54930.310000000005</v>
      </c>
      <c r="I947" s="43">
        <f t="shared" si="73"/>
        <v>54930.310000000005</v>
      </c>
      <c r="J947" s="102"/>
      <c r="K947" s="71"/>
    </row>
    <row r="948" spans="1:11" s="44" customFormat="1" ht="24" outlineLevel="1" x14ac:dyDescent="0.2">
      <c r="A948" s="49" t="s">
        <v>591</v>
      </c>
      <c r="B948" s="108">
        <v>42692</v>
      </c>
      <c r="C948" s="89">
        <v>43465</v>
      </c>
      <c r="D948" s="159">
        <v>60</v>
      </c>
      <c r="E948" s="123">
        <v>66898.33</v>
      </c>
      <c r="F948" s="123">
        <v>239206.15</v>
      </c>
      <c r="G948" s="123"/>
      <c r="H948" s="33">
        <f t="shared" si="72"/>
        <v>306104.48</v>
      </c>
      <c r="I948" s="43">
        <f t="shared" si="73"/>
        <v>306104.48</v>
      </c>
      <c r="J948" s="102"/>
      <c r="K948" s="71"/>
    </row>
    <row r="949" spans="1:11" s="44" customFormat="1" ht="24" outlineLevel="1" x14ac:dyDescent="0.2">
      <c r="A949" s="49" t="s">
        <v>562</v>
      </c>
      <c r="B949" s="108">
        <v>43028</v>
      </c>
      <c r="C949" s="89">
        <v>43465</v>
      </c>
      <c r="D949" s="159">
        <v>70</v>
      </c>
      <c r="E949" s="122">
        <v>7067.09</v>
      </c>
      <c r="F949" s="122">
        <v>16200</v>
      </c>
      <c r="G949" s="123"/>
      <c r="H949" s="33">
        <f t="shared" si="72"/>
        <v>23267.09</v>
      </c>
      <c r="I949" s="43">
        <f t="shared" si="73"/>
        <v>23267.09</v>
      </c>
      <c r="J949" s="102"/>
      <c r="K949" s="71"/>
    </row>
    <row r="950" spans="1:11" s="44" customFormat="1" ht="24" outlineLevel="1" x14ac:dyDescent="0.2">
      <c r="A950" s="49" t="s">
        <v>479</v>
      </c>
      <c r="B950" s="108">
        <v>42969</v>
      </c>
      <c r="C950" s="89">
        <v>43465</v>
      </c>
      <c r="D950" s="159">
        <v>99</v>
      </c>
      <c r="E950" s="123">
        <v>9319.17</v>
      </c>
      <c r="F950" s="123">
        <v>32330.43</v>
      </c>
      <c r="G950" s="123"/>
      <c r="H950" s="33">
        <f t="shared" si="72"/>
        <v>41649.599999999999</v>
      </c>
      <c r="I950" s="43">
        <f t="shared" si="73"/>
        <v>41649.599999999999</v>
      </c>
      <c r="J950" s="102"/>
      <c r="K950" s="71"/>
    </row>
    <row r="951" spans="1:11" s="44" customFormat="1" ht="24" outlineLevel="1" x14ac:dyDescent="0.2">
      <c r="A951" s="49" t="s">
        <v>525</v>
      </c>
      <c r="B951" s="108">
        <v>42884</v>
      </c>
      <c r="C951" s="89">
        <v>43465</v>
      </c>
      <c r="D951" s="159">
        <v>55</v>
      </c>
      <c r="E951" s="122">
        <v>18467.46</v>
      </c>
      <c r="F951" s="123">
        <v>530560.6</v>
      </c>
      <c r="G951" s="123"/>
      <c r="H951" s="33">
        <f t="shared" si="72"/>
        <v>549028.05999999994</v>
      </c>
      <c r="I951" s="43">
        <f t="shared" si="73"/>
        <v>549028.05999999994</v>
      </c>
      <c r="J951" s="102"/>
      <c r="K951" s="71"/>
    </row>
    <row r="952" spans="1:11" s="44" customFormat="1" ht="24" outlineLevel="1" x14ac:dyDescent="0.2">
      <c r="A952" s="49" t="s">
        <v>459</v>
      </c>
      <c r="B952" s="108">
        <v>42982</v>
      </c>
      <c r="C952" s="89">
        <v>43465</v>
      </c>
      <c r="D952" s="159">
        <v>70</v>
      </c>
      <c r="E952" s="123">
        <v>22596.93</v>
      </c>
      <c r="F952" s="123">
        <v>134353.85999999999</v>
      </c>
      <c r="G952" s="123"/>
      <c r="H952" s="33">
        <f t="shared" si="72"/>
        <v>156950.78999999998</v>
      </c>
      <c r="I952" s="43">
        <f t="shared" si="73"/>
        <v>156950.78999999998</v>
      </c>
      <c r="J952" s="102"/>
      <c r="K952" s="71"/>
    </row>
    <row r="953" spans="1:11" s="44" customFormat="1" ht="24" outlineLevel="1" x14ac:dyDescent="0.2">
      <c r="A953" s="49" t="s">
        <v>427</v>
      </c>
      <c r="B953" s="108">
        <v>42999</v>
      </c>
      <c r="C953" s="89">
        <v>43465</v>
      </c>
      <c r="D953" s="159">
        <v>90</v>
      </c>
      <c r="E953" s="122">
        <v>10582.83</v>
      </c>
      <c r="F953" s="123">
        <v>26267.89</v>
      </c>
      <c r="G953" s="123"/>
      <c r="H953" s="33">
        <f t="shared" si="72"/>
        <v>36850.720000000001</v>
      </c>
      <c r="I953" s="43">
        <f t="shared" si="73"/>
        <v>36850.720000000001</v>
      </c>
      <c r="J953" s="102"/>
      <c r="K953" s="71"/>
    </row>
    <row r="954" spans="1:11" s="44" customFormat="1" ht="24" outlineLevel="1" x14ac:dyDescent="0.2">
      <c r="A954" s="49" t="s">
        <v>458</v>
      </c>
      <c r="B954" s="108">
        <v>42990</v>
      </c>
      <c r="C954" s="89">
        <v>43465</v>
      </c>
      <c r="D954" s="159">
        <v>97</v>
      </c>
      <c r="E954" s="123">
        <v>6573.06</v>
      </c>
      <c r="F954" s="123">
        <v>18859.400000000001</v>
      </c>
      <c r="G954" s="123"/>
      <c r="H954" s="33">
        <f t="shared" si="72"/>
        <v>25432.460000000003</v>
      </c>
      <c r="I954" s="43">
        <f t="shared" si="73"/>
        <v>25432.460000000003</v>
      </c>
      <c r="J954" s="102"/>
      <c r="K954" s="71"/>
    </row>
    <row r="955" spans="1:11" s="44" customFormat="1" ht="24" outlineLevel="1" x14ac:dyDescent="0.2">
      <c r="A955" s="49" t="s">
        <v>526</v>
      </c>
      <c r="B955" s="108">
        <v>42997</v>
      </c>
      <c r="C955" s="89">
        <v>43465</v>
      </c>
      <c r="D955" s="159">
        <v>95</v>
      </c>
      <c r="E955" s="123">
        <v>7357.82</v>
      </c>
      <c r="F955" s="123">
        <v>28535.46</v>
      </c>
      <c r="G955" s="123"/>
      <c r="H955" s="33">
        <f t="shared" si="72"/>
        <v>35893.279999999999</v>
      </c>
      <c r="I955" s="43">
        <f t="shared" si="73"/>
        <v>35893.279999999999</v>
      </c>
      <c r="J955" s="102"/>
      <c r="K955" s="71"/>
    </row>
    <row r="956" spans="1:11" s="44" customFormat="1" ht="24" outlineLevel="1" x14ac:dyDescent="0.2">
      <c r="A956" s="49" t="s">
        <v>486</v>
      </c>
      <c r="B956" s="108">
        <v>43021</v>
      </c>
      <c r="C956" s="89">
        <v>43465</v>
      </c>
      <c r="D956" s="159">
        <v>70</v>
      </c>
      <c r="E956" s="122">
        <v>8713.74</v>
      </c>
      <c r="F956" s="123">
        <v>27840.2</v>
      </c>
      <c r="G956" s="123"/>
      <c r="H956" s="33">
        <f t="shared" si="72"/>
        <v>36553.94</v>
      </c>
      <c r="I956" s="43">
        <f t="shared" si="73"/>
        <v>36553.94</v>
      </c>
      <c r="J956" s="102"/>
      <c r="K956" s="71"/>
    </row>
    <row r="957" spans="1:11" s="44" customFormat="1" ht="24" outlineLevel="1" x14ac:dyDescent="0.2">
      <c r="A957" s="49" t="s">
        <v>435</v>
      </c>
      <c r="B957" s="108">
        <v>43024</v>
      </c>
      <c r="C957" s="89">
        <v>43465</v>
      </c>
      <c r="D957" s="159">
        <v>80</v>
      </c>
      <c r="E957" s="123">
        <v>6461.66</v>
      </c>
      <c r="F957" s="122"/>
      <c r="G957" s="123"/>
      <c r="H957" s="33">
        <f t="shared" si="72"/>
        <v>6461.66</v>
      </c>
      <c r="I957" s="43">
        <f t="shared" si="73"/>
        <v>6461.66</v>
      </c>
      <c r="J957" s="102"/>
      <c r="K957" s="71"/>
    </row>
    <row r="958" spans="1:11" s="44" customFormat="1" outlineLevel="1" x14ac:dyDescent="0.2">
      <c r="A958" s="49" t="s">
        <v>491</v>
      </c>
      <c r="B958" s="108">
        <v>42975</v>
      </c>
      <c r="C958" s="89">
        <v>43465</v>
      </c>
      <c r="D958" s="159">
        <v>60</v>
      </c>
      <c r="E958" s="123">
        <v>8713.74</v>
      </c>
      <c r="F958" s="123">
        <v>33375.980000000003</v>
      </c>
      <c r="G958" s="123"/>
      <c r="H958" s="33">
        <f t="shared" si="72"/>
        <v>42089.72</v>
      </c>
      <c r="I958" s="43">
        <f t="shared" si="73"/>
        <v>42089.72</v>
      </c>
      <c r="J958" s="102"/>
      <c r="K958" s="71"/>
    </row>
    <row r="959" spans="1:11" s="44" customFormat="1" ht="24" outlineLevel="1" x14ac:dyDescent="0.2">
      <c r="A959" s="49" t="s">
        <v>511</v>
      </c>
      <c r="B959" s="108">
        <v>42993</v>
      </c>
      <c r="C959" s="89">
        <v>43465</v>
      </c>
      <c r="D959" s="159">
        <v>45</v>
      </c>
      <c r="E959" s="123">
        <v>6573.06</v>
      </c>
      <c r="F959" s="123">
        <v>23557.94</v>
      </c>
      <c r="G959" s="123"/>
      <c r="H959" s="33">
        <f t="shared" si="72"/>
        <v>30131</v>
      </c>
      <c r="I959" s="43">
        <f t="shared" si="73"/>
        <v>30131</v>
      </c>
      <c r="J959" s="102"/>
      <c r="K959" s="71"/>
    </row>
    <row r="960" spans="1:11" s="44" customFormat="1" ht="24" outlineLevel="1" x14ac:dyDescent="0.2">
      <c r="A960" s="49" t="s">
        <v>495</v>
      </c>
      <c r="B960" s="108">
        <v>42990</v>
      </c>
      <c r="C960" s="89">
        <v>43465</v>
      </c>
      <c r="D960" s="159">
        <v>95</v>
      </c>
      <c r="E960" s="123">
        <v>6573.06</v>
      </c>
      <c r="F960" s="123">
        <v>19346.759999999998</v>
      </c>
      <c r="G960" s="123"/>
      <c r="H960" s="33">
        <f t="shared" si="72"/>
        <v>25919.82</v>
      </c>
      <c r="I960" s="43">
        <f t="shared" si="73"/>
        <v>25919.82</v>
      </c>
      <c r="J960" s="102"/>
      <c r="K960" s="71"/>
    </row>
    <row r="961" spans="1:11" s="44" customFormat="1" ht="24" outlineLevel="1" x14ac:dyDescent="0.2">
      <c r="A961" s="49" t="s">
        <v>462</v>
      </c>
      <c r="B961" s="108">
        <v>42803</v>
      </c>
      <c r="C961" s="89">
        <v>43465</v>
      </c>
      <c r="D961" s="159">
        <v>60</v>
      </c>
      <c r="E961" s="123">
        <v>1550.46</v>
      </c>
      <c r="F961" s="123"/>
      <c r="G961" s="123"/>
      <c r="H961" s="33">
        <f t="shared" si="72"/>
        <v>1550.46</v>
      </c>
      <c r="I961" s="43">
        <f t="shared" si="73"/>
        <v>1550.46</v>
      </c>
      <c r="J961" s="102"/>
      <c r="K961" s="71"/>
    </row>
    <row r="962" spans="1:11" s="44" customFormat="1" ht="24" outlineLevel="1" x14ac:dyDescent="0.2">
      <c r="A962" s="49" t="s">
        <v>507</v>
      </c>
      <c r="B962" s="108">
        <v>42811</v>
      </c>
      <c r="C962" s="89">
        <v>43465</v>
      </c>
      <c r="D962" s="159">
        <v>50</v>
      </c>
      <c r="E962" s="122">
        <v>1550.46</v>
      </c>
      <c r="F962" s="123">
        <v>236838.32</v>
      </c>
      <c r="G962" s="123"/>
      <c r="H962" s="33">
        <f t="shared" si="72"/>
        <v>238388.78</v>
      </c>
      <c r="I962" s="43">
        <f t="shared" si="73"/>
        <v>238388.78</v>
      </c>
      <c r="J962" s="102"/>
      <c r="K962" s="71"/>
    </row>
    <row r="963" spans="1:11" s="44" customFormat="1" ht="24" outlineLevel="1" x14ac:dyDescent="0.2">
      <c r="A963" s="49" t="s">
        <v>531</v>
      </c>
      <c r="B963" s="108">
        <v>42955</v>
      </c>
      <c r="C963" s="89">
        <v>43465</v>
      </c>
      <c r="D963" s="159">
        <v>60</v>
      </c>
      <c r="E963" s="123">
        <v>15830.55</v>
      </c>
      <c r="F963" s="123">
        <v>43618.63</v>
      </c>
      <c r="G963" s="123"/>
      <c r="H963" s="33">
        <f t="shared" si="72"/>
        <v>59449.179999999993</v>
      </c>
      <c r="I963" s="43">
        <f t="shared" si="73"/>
        <v>59449.179999999993</v>
      </c>
      <c r="J963" s="102"/>
      <c r="K963" s="71"/>
    </row>
    <row r="964" spans="1:11" s="44" customFormat="1" ht="24" outlineLevel="1" x14ac:dyDescent="0.2">
      <c r="A964" s="49" t="s">
        <v>474</v>
      </c>
      <c r="B964" s="108">
        <v>42713</v>
      </c>
      <c r="C964" s="89">
        <v>43465</v>
      </c>
      <c r="D964" s="159">
        <v>70</v>
      </c>
      <c r="E964" s="123">
        <v>25853.84</v>
      </c>
      <c r="F964" s="123"/>
      <c r="G964" s="123"/>
      <c r="H964" s="33">
        <f t="shared" si="72"/>
        <v>25853.84</v>
      </c>
      <c r="I964" s="43">
        <f t="shared" si="73"/>
        <v>25853.84</v>
      </c>
      <c r="J964" s="102"/>
      <c r="K964" s="71"/>
    </row>
    <row r="965" spans="1:11" s="44" customFormat="1" ht="24" outlineLevel="1" x14ac:dyDescent="0.2">
      <c r="A965" s="49" t="s">
        <v>472</v>
      </c>
      <c r="B965" s="108">
        <v>42794</v>
      </c>
      <c r="C965" s="89">
        <v>43465</v>
      </c>
      <c r="D965" s="159">
        <v>70</v>
      </c>
      <c r="E965" s="123">
        <v>19466.919999999998</v>
      </c>
      <c r="F965" s="123"/>
      <c r="G965" s="123"/>
      <c r="H965" s="33">
        <f t="shared" si="72"/>
        <v>19466.919999999998</v>
      </c>
      <c r="I965" s="43">
        <f t="shared" si="73"/>
        <v>19466.919999999998</v>
      </c>
      <c r="J965" s="102"/>
      <c r="K965" s="71"/>
    </row>
    <row r="966" spans="1:11" s="44" customFormat="1" ht="24" outlineLevel="1" x14ac:dyDescent="0.2">
      <c r="A966" s="49" t="s">
        <v>572</v>
      </c>
      <c r="B966" s="108">
        <v>42929</v>
      </c>
      <c r="C966" s="89">
        <v>43465</v>
      </c>
      <c r="D966" s="159">
        <v>60</v>
      </c>
      <c r="E966" s="122">
        <v>9180.44</v>
      </c>
      <c r="F966" s="122">
        <v>90323.62</v>
      </c>
      <c r="G966" s="123"/>
      <c r="H966" s="33">
        <f t="shared" si="72"/>
        <v>99504.06</v>
      </c>
      <c r="I966" s="43">
        <f t="shared" si="73"/>
        <v>99504.06</v>
      </c>
      <c r="J966" s="102"/>
      <c r="K966" s="71"/>
    </row>
    <row r="967" spans="1:11" s="44" customFormat="1" ht="24" outlineLevel="1" x14ac:dyDescent="0.2">
      <c r="A967" s="49" t="s">
        <v>556</v>
      </c>
      <c r="B967" s="108">
        <v>42688</v>
      </c>
      <c r="C967" s="89">
        <v>43465</v>
      </c>
      <c r="D967" s="159">
        <v>40</v>
      </c>
      <c r="E967" s="123">
        <v>17060.669999999998</v>
      </c>
      <c r="F967" s="123"/>
      <c r="G967" s="123"/>
      <c r="H967" s="33">
        <f t="shared" si="72"/>
        <v>17060.669999999998</v>
      </c>
      <c r="I967" s="43">
        <f t="shared" si="73"/>
        <v>17060.669999999998</v>
      </c>
      <c r="J967" s="102"/>
      <c r="K967" s="71"/>
    </row>
    <row r="968" spans="1:11" s="44" customFormat="1" ht="24" outlineLevel="1" x14ac:dyDescent="0.2">
      <c r="A968" s="49" t="s">
        <v>529</v>
      </c>
      <c r="B968" s="108">
        <v>42915</v>
      </c>
      <c r="C968" s="89">
        <v>43465</v>
      </c>
      <c r="D968" s="159">
        <v>50</v>
      </c>
      <c r="E968" s="123">
        <v>17085.740000000002</v>
      </c>
      <c r="F968" s="123"/>
      <c r="G968" s="123"/>
      <c r="H968" s="33">
        <f t="shared" si="72"/>
        <v>17085.740000000002</v>
      </c>
      <c r="I968" s="43">
        <f t="shared" si="73"/>
        <v>17085.740000000002</v>
      </c>
      <c r="J968" s="102"/>
      <c r="K968" s="71"/>
    </row>
    <row r="969" spans="1:11" s="44" customFormat="1" ht="24" outlineLevel="1" x14ac:dyDescent="0.2">
      <c r="A969" s="49" t="s">
        <v>521</v>
      </c>
      <c r="B969" s="108">
        <v>42765</v>
      </c>
      <c r="C969" s="89">
        <v>43465</v>
      </c>
      <c r="D969" s="159">
        <v>80</v>
      </c>
      <c r="E969" s="123">
        <v>84420.05</v>
      </c>
      <c r="F969" s="123">
        <v>171947.63</v>
      </c>
      <c r="G969" s="123"/>
      <c r="H969" s="33">
        <f t="shared" si="72"/>
        <v>256367.68</v>
      </c>
      <c r="I969" s="43">
        <f t="shared" si="73"/>
        <v>256367.68</v>
      </c>
      <c r="J969" s="102"/>
      <c r="K969" s="71"/>
    </row>
    <row r="970" spans="1:11" s="44" customFormat="1" ht="24" outlineLevel="1" x14ac:dyDescent="0.2">
      <c r="A970" s="49" t="s">
        <v>518</v>
      </c>
      <c r="B970" s="108">
        <v>42846</v>
      </c>
      <c r="C970" s="89">
        <v>43465</v>
      </c>
      <c r="D970" s="159">
        <v>40</v>
      </c>
      <c r="E970" s="123">
        <v>2825.44</v>
      </c>
      <c r="F970" s="123"/>
      <c r="G970" s="123"/>
      <c r="H970" s="33">
        <f t="shared" si="72"/>
        <v>2825.44</v>
      </c>
      <c r="I970" s="43">
        <f t="shared" si="73"/>
        <v>2825.44</v>
      </c>
      <c r="J970" s="102"/>
      <c r="K970" s="71"/>
    </row>
    <row r="971" spans="1:11" s="44" customFormat="1" ht="24" outlineLevel="1" x14ac:dyDescent="0.2">
      <c r="A971" s="49" t="s">
        <v>452</v>
      </c>
      <c r="B971" s="108">
        <v>42949</v>
      </c>
      <c r="C971" s="89">
        <v>43465</v>
      </c>
      <c r="D971" s="159">
        <v>60</v>
      </c>
      <c r="E971" s="123">
        <v>21154.43</v>
      </c>
      <c r="F971" s="123">
        <v>146947.76</v>
      </c>
      <c r="G971" s="123"/>
      <c r="H971" s="33">
        <f t="shared" si="72"/>
        <v>168102.19</v>
      </c>
      <c r="I971" s="43">
        <f t="shared" si="73"/>
        <v>168102.19</v>
      </c>
      <c r="J971" s="102"/>
      <c r="K971" s="71"/>
    </row>
    <row r="972" spans="1:11" s="44" customFormat="1" ht="24" outlineLevel="1" x14ac:dyDescent="0.2">
      <c r="A972" s="49" t="s">
        <v>596</v>
      </c>
      <c r="B972" s="108">
        <v>42668</v>
      </c>
      <c r="C972" s="89">
        <v>43465</v>
      </c>
      <c r="D972" s="159">
        <v>40</v>
      </c>
      <c r="E972" s="122">
        <v>20870.47</v>
      </c>
      <c r="F972" s="122"/>
      <c r="G972" s="123"/>
      <c r="H972" s="33">
        <f t="shared" si="72"/>
        <v>20870.47</v>
      </c>
      <c r="I972" s="43">
        <f t="shared" si="73"/>
        <v>20870.47</v>
      </c>
      <c r="J972" s="102"/>
      <c r="K972" s="71"/>
    </row>
    <row r="973" spans="1:11" s="44" customFormat="1" ht="24" outlineLevel="1" x14ac:dyDescent="0.2">
      <c r="A973" s="49" t="s">
        <v>501</v>
      </c>
      <c r="B973" s="108">
        <v>42850</v>
      </c>
      <c r="C973" s="89">
        <v>43465</v>
      </c>
      <c r="D973" s="159">
        <v>40</v>
      </c>
      <c r="E973" s="123">
        <v>15665.96</v>
      </c>
      <c r="F973" s="123"/>
      <c r="G973" s="123"/>
      <c r="H973" s="33">
        <f t="shared" si="72"/>
        <v>15665.96</v>
      </c>
      <c r="I973" s="43">
        <f t="shared" si="73"/>
        <v>15665.96</v>
      </c>
      <c r="J973" s="121"/>
      <c r="K973" s="71"/>
    </row>
    <row r="974" spans="1:11" s="44" customFormat="1" ht="24" outlineLevel="1" x14ac:dyDescent="0.2">
      <c r="A974" s="49" t="s">
        <v>568</v>
      </c>
      <c r="B974" s="108">
        <v>42676</v>
      </c>
      <c r="C974" s="89">
        <v>43465</v>
      </c>
      <c r="D974" s="159">
        <v>60</v>
      </c>
      <c r="E974" s="123">
        <v>20477.41</v>
      </c>
      <c r="F974" s="123">
        <v>136.88999999999999</v>
      </c>
      <c r="G974" s="123"/>
      <c r="H974" s="33">
        <f t="shared" si="72"/>
        <v>20614.3</v>
      </c>
      <c r="I974" s="43">
        <f t="shared" si="73"/>
        <v>20614.3</v>
      </c>
      <c r="J974" s="102"/>
      <c r="K974" s="71"/>
    </row>
    <row r="975" spans="1:11" s="44" customFormat="1" ht="24" outlineLevel="1" x14ac:dyDescent="0.2">
      <c r="A975" s="49" t="s">
        <v>500</v>
      </c>
      <c r="B975" s="108">
        <v>42961</v>
      </c>
      <c r="C975" s="89">
        <v>43465</v>
      </c>
      <c r="D975" s="159">
        <v>30</v>
      </c>
      <c r="E975" s="123">
        <v>23226.18</v>
      </c>
      <c r="F975" s="123">
        <v>77410.179999999993</v>
      </c>
      <c r="G975" s="123"/>
      <c r="H975" s="33">
        <f t="shared" si="72"/>
        <v>100636.35999999999</v>
      </c>
      <c r="I975" s="43">
        <f t="shared" si="73"/>
        <v>100636.35999999999</v>
      </c>
      <c r="J975" s="102"/>
      <c r="K975" s="71"/>
    </row>
    <row r="976" spans="1:11" s="44" customFormat="1" ht="24" outlineLevel="1" x14ac:dyDescent="0.2">
      <c r="A976" s="49" t="s">
        <v>573</v>
      </c>
      <c r="B976" s="108">
        <v>42975</v>
      </c>
      <c r="C976" s="89">
        <v>43465</v>
      </c>
      <c r="D976" s="159">
        <v>50</v>
      </c>
      <c r="E976" s="123">
        <v>13251.02</v>
      </c>
      <c r="F976" s="123"/>
      <c r="G976" s="123"/>
      <c r="H976" s="33">
        <f t="shared" si="72"/>
        <v>13251.02</v>
      </c>
      <c r="I976" s="43">
        <f t="shared" si="73"/>
        <v>13251.02</v>
      </c>
      <c r="J976" s="102"/>
      <c r="K976" s="71"/>
    </row>
    <row r="977" spans="1:11" ht="24" outlineLevel="1" x14ac:dyDescent="0.2">
      <c r="A977" s="49" t="s">
        <v>453</v>
      </c>
      <c r="B977" s="108">
        <v>42950</v>
      </c>
      <c r="C977" s="89">
        <v>43465</v>
      </c>
      <c r="D977" s="159">
        <v>60</v>
      </c>
      <c r="E977" s="122">
        <v>2825.44</v>
      </c>
      <c r="F977" s="122"/>
      <c r="G977" s="123"/>
      <c r="H977" s="33">
        <f t="shared" ref="H977:H1040" si="74">E977+F977+G977</f>
        <v>2825.44</v>
      </c>
      <c r="I977" s="43">
        <f t="shared" ref="I977:I1040" si="75">H977</f>
        <v>2825.44</v>
      </c>
      <c r="J977" s="102"/>
      <c r="K977" s="71"/>
    </row>
    <row r="978" spans="1:11" s="44" customFormat="1" ht="24" outlineLevel="1" x14ac:dyDescent="0.2">
      <c r="A978" s="49" t="s">
        <v>456</v>
      </c>
      <c r="B978" s="108">
        <v>42936</v>
      </c>
      <c r="C978" s="89">
        <v>43465</v>
      </c>
      <c r="D978" s="159">
        <v>60</v>
      </c>
      <c r="E978" s="122">
        <v>10310.56</v>
      </c>
      <c r="F978" s="122"/>
      <c r="G978" s="123"/>
      <c r="H978" s="33">
        <f t="shared" si="74"/>
        <v>10310.56</v>
      </c>
      <c r="I978" s="43">
        <f t="shared" si="75"/>
        <v>10310.56</v>
      </c>
      <c r="J978" s="102"/>
      <c r="K978" s="71"/>
    </row>
    <row r="979" spans="1:11" ht="24" outlineLevel="1" x14ac:dyDescent="0.2">
      <c r="A979" s="49" t="s">
        <v>449</v>
      </c>
      <c r="B979" s="108">
        <v>42993</v>
      </c>
      <c r="C979" s="89">
        <v>43465</v>
      </c>
      <c r="D979" s="159">
        <v>80</v>
      </c>
      <c r="E979" s="123">
        <v>15720.45</v>
      </c>
      <c r="F979" s="123"/>
      <c r="G979" s="123"/>
      <c r="H979" s="33">
        <f t="shared" si="74"/>
        <v>15720.45</v>
      </c>
      <c r="I979" s="43">
        <f t="shared" si="75"/>
        <v>15720.45</v>
      </c>
      <c r="J979" s="102"/>
      <c r="K979" s="71"/>
    </row>
    <row r="980" spans="1:11" s="44" customFormat="1" ht="24" outlineLevel="1" x14ac:dyDescent="0.2">
      <c r="A980" s="49" t="s">
        <v>428</v>
      </c>
      <c r="B980" s="108">
        <v>43056</v>
      </c>
      <c r="C980" s="89">
        <v>43465</v>
      </c>
      <c r="D980" s="159">
        <v>90</v>
      </c>
      <c r="E980" s="122">
        <v>6953</v>
      </c>
      <c r="F980" s="122">
        <v>44124.58</v>
      </c>
      <c r="G980" s="123"/>
      <c r="H980" s="33">
        <f t="shared" si="74"/>
        <v>51077.58</v>
      </c>
      <c r="I980" s="43">
        <f t="shared" si="75"/>
        <v>51077.58</v>
      </c>
      <c r="J980" s="102"/>
      <c r="K980" s="71"/>
    </row>
    <row r="981" spans="1:11" s="44" customFormat="1" ht="24" outlineLevel="1" x14ac:dyDescent="0.2">
      <c r="A981" s="49" t="s">
        <v>430</v>
      </c>
      <c r="B981" s="108">
        <v>43055</v>
      </c>
      <c r="C981" s="89">
        <v>43465</v>
      </c>
      <c r="D981" s="159">
        <v>90</v>
      </c>
      <c r="E981" s="123">
        <v>6953</v>
      </c>
      <c r="F981" s="123">
        <v>46978.81</v>
      </c>
      <c r="G981" s="123"/>
      <c r="H981" s="33">
        <f t="shared" si="74"/>
        <v>53931.81</v>
      </c>
      <c r="I981" s="43">
        <f t="shared" si="75"/>
        <v>53931.81</v>
      </c>
      <c r="J981" s="102"/>
      <c r="K981" s="71"/>
    </row>
    <row r="982" spans="1:11" s="44" customFormat="1" ht="24" outlineLevel="1" x14ac:dyDescent="0.2">
      <c r="A982" s="49" t="s">
        <v>492</v>
      </c>
      <c r="B982" s="108">
        <v>42993</v>
      </c>
      <c r="C982" s="89">
        <v>43465</v>
      </c>
      <c r="D982" s="159">
        <v>95</v>
      </c>
      <c r="E982" s="123">
        <v>160603</v>
      </c>
      <c r="F982" s="123">
        <v>228600</v>
      </c>
      <c r="G982" s="123"/>
      <c r="H982" s="33">
        <f t="shared" si="74"/>
        <v>389203</v>
      </c>
      <c r="I982" s="43">
        <f t="shared" si="75"/>
        <v>389203</v>
      </c>
      <c r="J982" s="102"/>
      <c r="K982" s="71"/>
    </row>
    <row r="983" spans="1:11" s="44" customFormat="1" ht="24" outlineLevel="1" x14ac:dyDescent="0.2">
      <c r="A983" s="49" t="s">
        <v>557</v>
      </c>
      <c r="B983" s="108">
        <v>43026</v>
      </c>
      <c r="C983" s="89">
        <v>43465</v>
      </c>
      <c r="D983" s="159">
        <v>95</v>
      </c>
      <c r="E983" s="123">
        <v>34540.589999999997</v>
      </c>
      <c r="F983" s="123">
        <v>72313.48</v>
      </c>
      <c r="G983" s="123"/>
      <c r="H983" s="33">
        <f t="shared" si="74"/>
        <v>106854.06999999999</v>
      </c>
      <c r="I983" s="43">
        <f t="shared" si="75"/>
        <v>106854.06999999999</v>
      </c>
      <c r="J983" s="102"/>
      <c r="K983" s="71"/>
    </row>
    <row r="984" spans="1:11" s="44" customFormat="1" outlineLevel="1" x14ac:dyDescent="0.2">
      <c r="A984" s="49" t="s">
        <v>421</v>
      </c>
      <c r="B984" s="108">
        <v>42971</v>
      </c>
      <c r="C984" s="89">
        <v>43465</v>
      </c>
      <c r="D984" s="159">
        <v>60</v>
      </c>
      <c r="E984" s="123">
        <v>8963.49</v>
      </c>
      <c r="F984" s="123">
        <v>36991.33</v>
      </c>
      <c r="G984" s="123"/>
      <c r="H984" s="33">
        <f t="shared" si="74"/>
        <v>45954.82</v>
      </c>
      <c r="I984" s="43">
        <f t="shared" si="75"/>
        <v>45954.82</v>
      </c>
      <c r="J984" s="102"/>
      <c r="K984" s="71"/>
    </row>
    <row r="985" spans="1:11" s="44" customFormat="1" ht="24" outlineLevel="1" x14ac:dyDescent="0.2">
      <c r="A985" s="49" t="s">
        <v>485</v>
      </c>
      <c r="B985" s="108">
        <v>42984</v>
      </c>
      <c r="C985" s="89">
        <v>43465</v>
      </c>
      <c r="D985" s="159">
        <v>60</v>
      </c>
      <c r="E985" s="123">
        <v>9134.8799999999992</v>
      </c>
      <c r="F985" s="123">
        <v>34494</v>
      </c>
      <c r="G985" s="123"/>
      <c r="H985" s="33">
        <f t="shared" si="74"/>
        <v>43628.88</v>
      </c>
      <c r="I985" s="43">
        <f t="shared" si="75"/>
        <v>43628.88</v>
      </c>
      <c r="J985" s="102"/>
      <c r="K985" s="71"/>
    </row>
    <row r="986" spans="1:11" s="44" customFormat="1" ht="24" outlineLevel="1" x14ac:dyDescent="0.2">
      <c r="A986" s="49" t="s">
        <v>484</v>
      </c>
      <c r="B986" s="108">
        <v>42984</v>
      </c>
      <c r="C986" s="89">
        <v>43465</v>
      </c>
      <c r="D986" s="159">
        <v>60</v>
      </c>
      <c r="E986" s="122">
        <v>6711.41</v>
      </c>
      <c r="F986" s="122">
        <v>36741.31</v>
      </c>
      <c r="G986" s="123"/>
      <c r="H986" s="33">
        <f t="shared" si="74"/>
        <v>43452.72</v>
      </c>
      <c r="I986" s="43">
        <f t="shared" si="75"/>
        <v>43452.72</v>
      </c>
      <c r="J986" s="102"/>
      <c r="K986" s="71"/>
    </row>
    <row r="987" spans="1:11" s="44" customFormat="1" outlineLevel="1" x14ac:dyDescent="0.2">
      <c r="A987" s="49" t="s">
        <v>483</v>
      </c>
      <c r="B987" s="108">
        <v>42984</v>
      </c>
      <c r="C987" s="89">
        <v>43465</v>
      </c>
      <c r="D987" s="159">
        <v>65</v>
      </c>
      <c r="E987" s="123">
        <v>9306.2800000000007</v>
      </c>
      <c r="F987" s="123">
        <v>39006.49</v>
      </c>
      <c r="G987" s="123"/>
      <c r="H987" s="33">
        <f t="shared" si="74"/>
        <v>48312.77</v>
      </c>
      <c r="I987" s="43">
        <f t="shared" si="75"/>
        <v>48312.77</v>
      </c>
      <c r="J987" s="102"/>
      <c r="K987" s="71"/>
    </row>
    <row r="988" spans="1:11" s="44" customFormat="1" ht="24" outlineLevel="1" x14ac:dyDescent="0.2">
      <c r="A988" s="49" t="s">
        <v>508</v>
      </c>
      <c r="B988" s="108">
        <v>42963</v>
      </c>
      <c r="C988" s="89">
        <v>43465</v>
      </c>
      <c r="D988" s="159">
        <v>99</v>
      </c>
      <c r="E988" s="123">
        <v>7054.2</v>
      </c>
      <c r="F988" s="123">
        <v>43465.11</v>
      </c>
      <c r="G988" s="123"/>
      <c r="H988" s="33">
        <f t="shared" si="74"/>
        <v>50519.31</v>
      </c>
      <c r="I988" s="43">
        <f t="shared" si="75"/>
        <v>50519.31</v>
      </c>
      <c r="J988" s="102"/>
      <c r="K988" s="71"/>
    </row>
    <row r="989" spans="1:11" s="44" customFormat="1" outlineLevel="1" x14ac:dyDescent="0.2">
      <c r="A989" s="49" t="s">
        <v>512</v>
      </c>
      <c r="B989" s="108">
        <v>42555</v>
      </c>
      <c r="C989" s="89">
        <v>43465</v>
      </c>
      <c r="D989" s="159">
        <v>70</v>
      </c>
      <c r="E989" s="123">
        <v>7078.57</v>
      </c>
      <c r="F989" s="123"/>
      <c r="G989" s="123"/>
      <c r="H989" s="33">
        <f t="shared" si="74"/>
        <v>7078.57</v>
      </c>
      <c r="I989" s="43">
        <f t="shared" si="75"/>
        <v>7078.57</v>
      </c>
      <c r="J989" s="102"/>
      <c r="K989" s="71"/>
    </row>
    <row r="990" spans="1:11" s="44" customFormat="1" ht="24" outlineLevel="1" x14ac:dyDescent="0.2">
      <c r="A990" s="49" t="s">
        <v>433</v>
      </c>
      <c r="B990" s="108">
        <v>43005</v>
      </c>
      <c r="C990" s="89">
        <v>43465</v>
      </c>
      <c r="D990" s="159">
        <v>50</v>
      </c>
      <c r="E990" s="122">
        <v>13586.56</v>
      </c>
      <c r="F990" s="122"/>
      <c r="G990" s="123"/>
      <c r="H990" s="33">
        <f t="shared" si="74"/>
        <v>13586.56</v>
      </c>
      <c r="I990" s="43">
        <f t="shared" si="75"/>
        <v>13586.56</v>
      </c>
      <c r="J990" s="102"/>
      <c r="K990" s="71"/>
    </row>
    <row r="991" spans="1:11" s="44" customFormat="1" outlineLevel="1" x14ac:dyDescent="0.2">
      <c r="A991" s="49" t="s">
        <v>554</v>
      </c>
      <c r="B991" s="108">
        <v>43032</v>
      </c>
      <c r="C991" s="89">
        <v>43465</v>
      </c>
      <c r="D991" s="159">
        <v>55</v>
      </c>
      <c r="E991" s="122">
        <v>11669.42</v>
      </c>
      <c r="F991" s="122">
        <v>159122.68</v>
      </c>
      <c r="G991" s="123"/>
      <c r="H991" s="33">
        <f t="shared" si="74"/>
        <v>170792.1</v>
      </c>
      <c r="I991" s="43">
        <f t="shared" si="75"/>
        <v>170792.1</v>
      </c>
      <c r="J991" s="102"/>
      <c r="K991" s="71"/>
    </row>
    <row r="992" spans="1:11" s="44" customFormat="1" outlineLevel="1" x14ac:dyDescent="0.2">
      <c r="A992" s="49" t="s">
        <v>588</v>
      </c>
      <c r="B992" s="108">
        <v>43019</v>
      </c>
      <c r="C992" s="89">
        <v>43465</v>
      </c>
      <c r="D992" s="159">
        <v>50</v>
      </c>
      <c r="E992" s="123">
        <v>9100.83</v>
      </c>
      <c r="F992" s="123">
        <v>35142.14</v>
      </c>
      <c r="G992" s="123"/>
      <c r="H992" s="33">
        <f t="shared" si="74"/>
        <v>44242.97</v>
      </c>
      <c r="I992" s="43">
        <f t="shared" si="75"/>
        <v>44242.97</v>
      </c>
      <c r="J992" s="102"/>
      <c r="K992" s="71"/>
    </row>
    <row r="993" spans="1:11" s="44" customFormat="1" outlineLevel="1" x14ac:dyDescent="0.2">
      <c r="A993" s="49" t="s">
        <v>563</v>
      </c>
      <c r="B993" s="108">
        <v>43048</v>
      </c>
      <c r="C993" s="89">
        <v>43465</v>
      </c>
      <c r="D993" s="159">
        <v>70</v>
      </c>
      <c r="E993" s="123">
        <v>8792.09</v>
      </c>
      <c r="F993" s="123">
        <v>38002.910000000003</v>
      </c>
      <c r="G993" s="123"/>
      <c r="H993" s="33">
        <f t="shared" si="74"/>
        <v>46795</v>
      </c>
      <c r="I993" s="43">
        <f t="shared" si="75"/>
        <v>46795</v>
      </c>
      <c r="J993" s="102"/>
      <c r="K993" s="71"/>
    </row>
    <row r="994" spans="1:11" s="44" customFormat="1" outlineLevel="1" x14ac:dyDescent="0.2">
      <c r="A994" s="49" t="s">
        <v>577</v>
      </c>
      <c r="B994" s="108">
        <v>43046</v>
      </c>
      <c r="C994" s="89">
        <v>43465</v>
      </c>
      <c r="D994" s="159">
        <v>50</v>
      </c>
      <c r="E994" s="122">
        <v>12895.01</v>
      </c>
      <c r="F994" s="122">
        <v>24985.68</v>
      </c>
      <c r="G994" s="123"/>
      <c r="H994" s="33">
        <f t="shared" si="74"/>
        <v>37880.69</v>
      </c>
      <c r="I994" s="43">
        <f t="shared" si="75"/>
        <v>37880.69</v>
      </c>
      <c r="J994" s="102"/>
      <c r="K994" s="71"/>
    </row>
    <row r="995" spans="1:11" s="44" customFormat="1" ht="24" outlineLevel="1" x14ac:dyDescent="0.2">
      <c r="A995" s="49" t="s">
        <v>450</v>
      </c>
      <c r="B995" s="108">
        <v>43052</v>
      </c>
      <c r="C995" s="89">
        <v>43465</v>
      </c>
      <c r="D995" s="159">
        <v>90</v>
      </c>
      <c r="E995" s="123">
        <v>8963.49</v>
      </c>
      <c r="F995" s="123">
        <v>28195.95</v>
      </c>
      <c r="G995" s="123"/>
      <c r="H995" s="33">
        <f t="shared" si="74"/>
        <v>37159.440000000002</v>
      </c>
      <c r="I995" s="43">
        <f t="shared" si="75"/>
        <v>37159.440000000002</v>
      </c>
      <c r="J995" s="102"/>
      <c r="K995" s="71"/>
    </row>
    <row r="996" spans="1:11" s="44" customFormat="1" ht="24" outlineLevel="1" x14ac:dyDescent="0.2">
      <c r="A996" s="49" t="s">
        <v>565</v>
      </c>
      <c r="B996" s="108">
        <v>42999</v>
      </c>
      <c r="C996" s="89">
        <v>43465</v>
      </c>
      <c r="D996" s="159">
        <v>80</v>
      </c>
      <c r="E996" s="123">
        <v>17209.73</v>
      </c>
      <c r="F996" s="123">
        <v>230966.43</v>
      </c>
      <c r="G996" s="123"/>
      <c r="H996" s="33">
        <f t="shared" si="74"/>
        <v>248176.16</v>
      </c>
      <c r="I996" s="43">
        <f t="shared" si="75"/>
        <v>248176.16</v>
      </c>
      <c r="J996" s="102"/>
      <c r="K996" s="71"/>
    </row>
    <row r="997" spans="1:11" s="44" customFormat="1" ht="24" outlineLevel="1" x14ac:dyDescent="0.2">
      <c r="A997" s="49" t="s">
        <v>513</v>
      </c>
      <c r="B997" s="108">
        <v>42985</v>
      </c>
      <c r="C997" s="89">
        <v>43465</v>
      </c>
      <c r="D997" s="159">
        <v>50</v>
      </c>
      <c r="E997" s="123">
        <v>51728.07</v>
      </c>
      <c r="F997" s="123">
        <v>33576.75</v>
      </c>
      <c r="G997" s="123"/>
      <c r="H997" s="33">
        <f t="shared" si="74"/>
        <v>85304.82</v>
      </c>
      <c r="I997" s="43">
        <f t="shared" si="75"/>
        <v>85304.82</v>
      </c>
      <c r="J997" s="102"/>
      <c r="K997" s="71"/>
    </row>
    <row r="998" spans="1:11" s="44" customFormat="1" ht="24" outlineLevel="1" x14ac:dyDescent="0.2">
      <c r="A998" s="49" t="s">
        <v>480</v>
      </c>
      <c r="B998" s="108">
        <v>42985</v>
      </c>
      <c r="C998" s="89">
        <v>43465</v>
      </c>
      <c r="D998" s="159">
        <v>70</v>
      </c>
      <c r="E998" s="123">
        <v>6485.52</v>
      </c>
      <c r="F998" s="123">
        <v>7624.37</v>
      </c>
      <c r="G998" s="123"/>
      <c r="H998" s="33">
        <f t="shared" si="74"/>
        <v>14109.89</v>
      </c>
      <c r="I998" s="43">
        <f t="shared" si="75"/>
        <v>14109.89</v>
      </c>
      <c r="J998" s="102"/>
      <c r="K998" s="71"/>
    </row>
    <row r="999" spans="1:11" s="44" customFormat="1" ht="24" outlineLevel="1" x14ac:dyDescent="0.2">
      <c r="A999" s="49" t="s">
        <v>481</v>
      </c>
      <c r="B999" s="108">
        <v>42985</v>
      </c>
      <c r="C999" s="89">
        <v>43465</v>
      </c>
      <c r="D999" s="159">
        <v>70</v>
      </c>
      <c r="E999" s="123">
        <v>6485.52</v>
      </c>
      <c r="F999" s="123">
        <v>5764.64</v>
      </c>
      <c r="G999" s="123"/>
      <c r="H999" s="33">
        <f t="shared" si="74"/>
        <v>12250.16</v>
      </c>
      <c r="I999" s="43">
        <f t="shared" si="75"/>
        <v>12250.16</v>
      </c>
      <c r="J999" s="102"/>
      <c r="K999" s="71"/>
    </row>
    <row r="1000" spans="1:11" s="44" customFormat="1" outlineLevel="1" x14ac:dyDescent="0.2">
      <c r="A1000" s="49" t="s">
        <v>494</v>
      </c>
      <c r="B1000" s="108">
        <v>43063</v>
      </c>
      <c r="C1000" s="89">
        <v>43465</v>
      </c>
      <c r="D1000" s="159">
        <v>70</v>
      </c>
      <c r="E1000" s="123">
        <v>8792.09</v>
      </c>
      <c r="F1000" s="123"/>
      <c r="G1000" s="123"/>
      <c r="H1000" s="33">
        <f t="shared" si="74"/>
        <v>8792.09</v>
      </c>
      <c r="I1000" s="43">
        <f t="shared" si="75"/>
        <v>8792.09</v>
      </c>
      <c r="J1000" s="102"/>
      <c r="K1000" s="71"/>
    </row>
    <row r="1001" spans="1:11" s="44" customFormat="1" outlineLevel="1" x14ac:dyDescent="0.2">
      <c r="A1001" s="49" t="s">
        <v>505</v>
      </c>
      <c r="B1001" s="108">
        <v>43006</v>
      </c>
      <c r="C1001" s="89">
        <v>43465</v>
      </c>
      <c r="D1001" s="159">
        <v>60</v>
      </c>
      <c r="E1001" s="123">
        <v>6922.98</v>
      </c>
      <c r="F1001" s="123">
        <v>2725.41</v>
      </c>
      <c r="G1001" s="123"/>
      <c r="H1001" s="33">
        <f t="shared" si="74"/>
        <v>9648.39</v>
      </c>
      <c r="I1001" s="43">
        <f t="shared" si="75"/>
        <v>9648.39</v>
      </c>
      <c r="J1001" s="102"/>
      <c r="K1001" s="71"/>
    </row>
    <row r="1002" spans="1:11" s="44" customFormat="1" ht="24" outlineLevel="1" x14ac:dyDescent="0.2">
      <c r="A1002" s="49" t="s">
        <v>497</v>
      </c>
      <c r="B1002" s="108">
        <v>43005</v>
      </c>
      <c r="C1002" s="89">
        <v>43465</v>
      </c>
      <c r="D1002" s="159">
        <v>70</v>
      </c>
      <c r="E1002" s="123">
        <v>10016.77</v>
      </c>
      <c r="F1002" s="123">
        <v>90548.36</v>
      </c>
      <c r="G1002" s="123"/>
      <c r="H1002" s="33">
        <f t="shared" si="74"/>
        <v>100565.13</v>
      </c>
      <c r="I1002" s="43">
        <f t="shared" si="75"/>
        <v>100565.13</v>
      </c>
      <c r="J1002" s="102"/>
      <c r="K1002" s="71"/>
    </row>
    <row r="1003" spans="1:11" s="44" customFormat="1" outlineLevel="1" x14ac:dyDescent="0.2">
      <c r="A1003" s="49" t="s">
        <v>552</v>
      </c>
      <c r="B1003" s="108">
        <v>43068</v>
      </c>
      <c r="C1003" s="89">
        <v>43465</v>
      </c>
      <c r="D1003" s="159">
        <v>50</v>
      </c>
      <c r="E1003" s="123">
        <v>6540.01</v>
      </c>
      <c r="F1003" s="123">
        <v>41198.92</v>
      </c>
      <c r="G1003" s="123"/>
      <c r="H1003" s="33">
        <f t="shared" si="74"/>
        <v>47738.93</v>
      </c>
      <c r="I1003" s="43">
        <f t="shared" si="75"/>
        <v>47738.93</v>
      </c>
      <c r="J1003" s="102"/>
      <c r="K1003" s="71"/>
    </row>
    <row r="1004" spans="1:11" s="44" customFormat="1" outlineLevel="1" x14ac:dyDescent="0.2">
      <c r="A1004" s="49" t="s">
        <v>503</v>
      </c>
      <c r="B1004" s="108">
        <v>43083</v>
      </c>
      <c r="C1004" s="89">
        <v>43465</v>
      </c>
      <c r="D1004" s="159">
        <v>60</v>
      </c>
      <c r="E1004" s="123">
        <v>14021.44</v>
      </c>
      <c r="F1004" s="123">
        <v>113302.94</v>
      </c>
      <c r="G1004" s="123"/>
      <c r="H1004" s="33">
        <f t="shared" si="74"/>
        <v>127324.38</v>
      </c>
      <c r="I1004" s="43">
        <f t="shared" si="75"/>
        <v>127324.38</v>
      </c>
      <c r="J1004" s="102"/>
      <c r="K1004" s="71"/>
    </row>
    <row r="1005" spans="1:11" s="44" customFormat="1" ht="24" outlineLevel="1" x14ac:dyDescent="0.2">
      <c r="A1005" s="49" t="s">
        <v>547</v>
      </c>
      <c r="B1005" s="108">
        <v>43032</v>
      </c>
      <c r="C1005" s="89">
        <v>43465</v>
      </c>
      <c r="D1005" s="159">
        <v>90</v>
      </c>
      <c r="E1005" s="123">
        <v>9175.06</v>
      </c>
      <c r="F1005" s="123">
        <v>28395.55</v>
      </c>
      <c r="G1005" s="123"/>
      <c r="H1005" s="33">
        <f t="shared" si="74"/>
        <v>37570.61</v>
      </c>
      <c r="I1005" s="43">
        <f t="shared" si="75"/>
        <v>37570.61</v>
      </c>
      <c r="J1005" s="102"/>
      <c r="K1005" s="71"/>
    </row>
    <row r="1006" spans="1:11" s="44" customFormat="1" outlineLevel="1" x14ac:dyDescent="0.2">
      <c r="A1006" s="49" t="s">
        <v>567</v>
      </c>
      <c r="B1006" s="108">
        <v>43011</v>
      </c>
      <c r="C1006" s="89">
        <v>43465</v>
      </c>
      <c r="D1006" s="159">
        <v>40</v>
      </c>
      <c r="E1006" s="123">
        <v>25407.79</v>
      </c>
      <c r="F1006" s="123">
        <v>187482.42</v>
      </c>
      <c r="G1006" s="123"/>
      <c r="H1006" s="33">
        <f t="shared" si="74"/>
        <v>212890.21000000002</v>
      </c>
      <c r="I1006" s="43">
        <f t="shared" si="75"/>
        <v>212890.21000000002</v>
      </c>
      <c r="J1006" s="102"/>
      <c r="K1006" s="71"/>
    </row>
    <row r="1007" spans="1:11" s="44" customFormat="1" outlineLevel="1" x14ac:dyDescent="0.2">
      <c r="A1007" s="49" t="s">
        <v>471</v>
      </c>
      <c r="B1007" s="108">
        <v>42873</v>
      </c>
      <c r="C1007" s="89">
        <v>43465</v>
      </c>
      <c r="D1007" s="159">
        <v>60</v>
      </c>
      <c r="E1007" s="123">
        <v>9660.36</v>
      </c>
      <c r="F1007" s="123"/>
      <c r="G1007" s="123"/>
      <c r="H1007" s="33">
        <f t="shared" si="74"/>
        <v>9660.36</v>
      </c>
      <c r="I1007" s="43">
        <f t="shared" si="75"/>
        <v>9660.36</v>
      </c>
      <c r="J1007" s="102"/>
      <c r="K1007" s="71"/>
    </row>
    <row r="1008" spans="1:11" s="44" customFormat="1" outlineLevel="1" x14ac:dyDescent="0.2">
      <c r="A1008" s="49" t="s">
        <v>551</v>
      </c>
      <c r="B1008" s="108">
        <v>43007</v>
      </c>
      <c r="C1008" s="89">
        <v>43465</v>
      </c>
      <c r="D1008" s="159">
        <v>70</v>
      </c>
      <c r="E1008" s="123">
        <v>2825.44</v>
      </c>
      <c r="F1008" s="123"/>
      <c r="G1008" s="123"/>
      <c r="H1008" s="33">
        <f t="shared" si="74"/>
        <v>2825.44</v>
      </c>
      <c r="I1008" s="43">
        <f t="shared" si="75"/>
        <v>2825.44</v>
      </c>
      <c r="J1008" s="102"/>
      <c r="K1008" s="71"/>
    </row>
    <row r="1009" spans="1:11" s="44" customFormat="1" outlineLevel="1" x14ac:dyDescent="0.2">
      <c r="A1009" s="49" t="s">
        <v>569</v>
      </c>
      <c r="B1009" s="108">
        <v>43004</v>
      </c>
      <c r="C1009" s="89">
        <v>43465</v>
      </c>
      <c r="D1009" s="159">
        <v>60</v>
      </c>
      <c r="E1009" s="123">
        <v>2252.08</v>
      </c>
      <c r="F1009" s="123"/>
      <c r="G1009" s="123"/>
      <c r="H1009" s="33">
        <f t="shared" si="74"/>
        <v>2252.08</v>
      </c>
      <c r="I1009" s="43">
        <f t="shared" si="75"/>
        <v>2252.08</v>
      </c>
      <c r="J1009" s="102"/>
      <c r="K1009" s="71"/>
    </row>
    <row r="1010" spans="1:11" s="44" customFormat="1" outlineLevel="1" x14ac:dyDescent="0.2">
      <c r="A1010" s="49" t="s">
        <v>434</v>
      </c>
      <c r="B1010" s="108">
        <v>42975</v>
      </c>
      <c r="C1010" s="89">
        <v>43465</v>
      </c>
      <c r="D1010" s="159">
        <v>50</v>
      </c>
      <c r="E1010" s="123">
        <v>10083.700000000001</v>
      </c>
      <c r="F1010" s="123"/>
      <c r="G1010" s="123"/>
      <c r="H1010" s="33">
        <f t="shared" si="74"/>
        <v>10083.700000000001</v>
      </c>
      <c r="I1010" s="43">
        <f t="shared" si="75"/>
        <v>10083.700000000001</v>
      </c>
      <c r="J1010" s="102"/>
      <c r="K1010" s="71"/>
    </row>
    <row r="1011" spans="1:11" s="44" customFormat="1" outlineLevel="1" x14ac:dyDescent="0.2">
      <c r="A1011" s="49" t="s">
        <v>455</v>
      </c>
      <c r="B1011" s="108">
        <v>43054</v>
      </c>
      <c r="C1011" s="89">
        <v>43465</v>
      </c>
      <c r="D1011" s="159">
        <v>80</v>
      </c>
      <c r="E1011" s="123">
        <v>9024.86</v>
      </c>
      <c r="F1011" s="123"/>
      <c r="G1011" s="123"/>
      <c r="H1011" s="33">
        <f t="shared" si="74"/>
        <v>9024.86</v>
      </c>
      <c r="I1011" s="43">
        <f t="shared" si="75"/>
        <v>9024.86</v>
      </c>
      <c r="J1011" s="102"/>
      <c r="K1011" s="71"/>
    </row>
    <row r="1012" spans="1:11" s="44" customFormat="1" outlineLevel="1" x14ac:dyDescent="0.2">
      <c r="A1012" s="49" t="s">
        <v>444</v>
      </c>
      <c r="B1012" s="108">
        <v>43054</v>
      </c>
      <c r="C1012" s="89">
        <v>43465</v>
      </c>
      <c r="D1012" s="159">
        <v>60</v>
      </c>
      <c r="E1012" s="123">
        <v>29737.08</v>
      </c>
      <c r="F1012" s="123">
        <v>73793.259999999995</v>
      </c>
      <c r="G1012" s="123"/>
      <c r="H1012" s="33">
        <f t="shared" si="74"/>
        <v>103530.34</v>
      </c>
      <c r="I1012" s="43">
        <f t="shared" si="75"/>
        <v>103530.34</v>
      </c>
      <c r="J1012" s="102"/>
      <c r="K1012" s="71"/>
    </row>
    <row r="1013" spans="1:11" s="44" customFormat="1" outlineLevel="1" x14ac:dyDescent="0.2">
      <c r="A1013" s="49" t="s">
        <v>587</v>
      </c>
      <c r="B1013" s="108">
        <v>42936</v>
      </c>
      <c r="C1013" s="89">
        <v>43465</v>
      </c>
      <c r="D1013" s="159">
        <v>50</v>
      </c>
      <c r="E1013" s="123">
        <v>15193.36</v>
      </c>
      <c r="F1013" s="123"/>
      <c r="G1013" s="123"/>
      <c r="H1013" s="33">
        <f t="shared" si="74"/>
        <v>15193.36</v>
      </c>
      <c r="I1013" s="43">
        <f t="shared" si="75"/>
        <v>15193.36</v>
      </c>
      <c r="J1013" s="102"/>
      <c r="K1013" s="71"/>
    </row>
    <row r="1014" spans="1:11" s="44" customFormat="1" outlineLevel="1" x14ac:dyDescent="0.2">
      <c r="A1014" s="49" t="s">
        <v>571</v>
      </c>
      <c r="B1014" s="108">
        <v>42978</v>
      </c>
      <c r="C1014" s="89">
        <v>43465</v>
      </c>
      <c r="D1014" s="159">
        <v>40</v>
      </c>
      <c r="E1014" s="123">
        <v>2252.08</v>
      </c>
      <c r="F1014" s="123"/>
      <c r="G1014" s="123"/>
      <c r="H1014" s="33">
        <f t="shared" si="74"/>
        <v>2252.08</v>
      </c>
      <c r="I1014" s="43">
        <f t="shared" si="75"/>
        <v>2252.08</v>
      </c>
      <c r="J1014" s="102"/>
      <c r="K1014" s="71"/>
    </row>
    <row r="1015" spans="1:11" s="44" customFormat="1" ht="24" outlineLevel="1" x14ac:dyDescent="0.2">
      <c r="A1015" s="49" t="s">
        <v>461</v>
      </c>
      <c r="B1015" s="108">
        <v>42859</v>
      </c>
      <c r="C1015" s="89">
        <v>43465</v>
      </c>
      <c r="D1015" s="159">
        <v>60</v>
      </c>
      <c r="E1015" s="123">
        <v>17597.89</v>
      </c>
      <c r="F1015" s="123"/>
      <c r="G1015" s="123"/>
      <c r="H1015" s="33">
        <f t="shared" si="74"/>
        <v>17597.89</v>
      </c>
      <c r="I1015" s="43">
        <f t="shared" si="75"/>
        <v>17597.89</v>
      </c>
      <c r="J1015" s="102"/>
      <c r="K1015" s="71"/>
    </row>
    <row r="1016" spans="1:11" s="44" customFormat="1" outlineLevel="1" x14ac:dyDescent="0.2">
      <c r="A1016" s="49" t="s">
        <v>510</v>
      </c>
      <c r="B1016" s="108">
        <v>43046</v>
      </c>
      <c r="C1016" s="89">
        <v>43465</v>
      </c>
      <c r="D1016" s="159">
        <v>40</v>
      </c>
      <c r="E1016" s="123">
        <v>10953.16</v>
      </c>
      <c r="F1016" s="123">
        <v>34694.42</v>
      </c>
      <c r="G1016" s="123"/>
      <c r="H1016" s="33">
        <f t="shared" si="74"/>
        <v>45647.58</v>
      </c>
      <c r="I1016" s="43">
        <f t="shared" si="75"/>
        <v>45647.58</v>
      </c>
      <c r="J1016" s="102"/>
      <c r="K1016" s="71"/>
    </row>
    <row r="1017" spans="1:11" s="44" customFormat="1" ht="24" outlineLevel="1" x14ac:dyDescent="0.2">
      <c r="A1017" s="49" t="s">
        <v>576</v>
      </c>
      <c r="B1017" s="108">
        <v>42872</v>
      </c>
      <c r="C1017" s="89">
        <v>43465</v>
      </c>
      <c r="D1017" s="159">
        <v>30</v>
      </c>
      <c r="E1017" s="123">
        <v>17427.48</v>
      </c>
      <c r="F1017" s="123">
        <v>310011.69</v>
      </c>
      <c r="G1017" s="123"/>
      <c r="H1017" s="33">
        <f t="shared" si="74"/>
        <v>327439.17</v>
      </c>
      <c r="I1017" s="43">
        <f t="shared" si="75"/>
        <v>327439.17</v>
      </c>
      <c r="J1017" s="102"/>
      <c r="K1017" s="71"/>
    </row>
    <row r="1018" spans="1:11" s="44" customFormat="1" outlineLevel="1" x14ac:dyDescent="0.2">
      <c r="A1018" s="49" t="s">
        <v>555</v>
      </c>
      <c r="B1018" s="108">
        <v>43031</v>
      </c>
      <c r="C1018" s="89">
        <v>43465</v>
      </c>
      <c r="D1018" s="159">
        <v>40</v>
      </c>
      <c r="E1018" s="123">
        <v>8680.09</v>
      </c>
      <c r="F1018" s="123">
        <v>47260.74</v>
      </c>
      <c r="G1018" s="123"/>
      <c r="H1018" s="33">
        <f t="shared" si="74"/>
        <v>55940.83</v>
      </c>
      <c r="I1018" s="43">
        <f t="shared" si="75"/>
        <v>55940.83</v>
      </c>
      <c r="J1018" s="102"/>
      <c r="K1018" s="71"/>
    </row>
    <row r="1019" spans="1:11" s="44" customFormat="1" ht="24" outlineLevel="1" x14ac:dyDescent="0.2">
      <c r="A1019" s="49" t="s">
        <v>475</v>
      </c>
      <c r="B1019" s="108">
        <v>43017</v>
      </c>
      <c r="C1019" s="89">
        <v>43465</v>
      </c>
      <c r="D1019" s="159">
        <v>65</v>
      </c>
      <c r="E1019" s="123">
        <v>28622.13</v>
      </c>
      <c r="F1019" s="123"/>
      <c r="G1019" s="123"/>
      <c r="H1019" s="33">
        <f t="shared" si="74"/>
        <v>28622.13</v>
      </c>
      <c r="I1019" s="43">
        <f t="shared" si="75"/>
        <v>28622.13</v>
      </c>
      <c r="J1019" s="102"/>
      <c r="K1019" s="71"/>
    </row>
    <row r="1020" spans="1:11" s="44" customFormat="1" ht="24" outlineLevel="1" x14ac:dyDescent="0.2">
      <c r="A1020" s="49" t="s">
        <v>1422</v>
      </c>
      <c r="B1020" s="108">
        <v>43061</v>
      </c>
      <c r="C1020" s="89">
        <v>43465</v>
      </c>
      <c r="D1020" s="159">
        <v>50</v>
      </c>
      <c r="E1020" s="123">
        <v>28871.68</v>
      </c>
      <c r="F1020" s="123"/>
      <c r="G1020" s="123"/>
      <c r="H1020" s="33">
        <f t="shared" si="74"/>
        <v>28871.68</v>
      </c>
      <c r="I1020" s="43">
        <f t="shared" si="75"/>
        <v>28871.68</v>
      </c>
      <c r="J1020" s="102"/>
      <c r="K1020" s="71"/>
    </row>
    <row r="1021" spans="1:11" s="44" customFormat="1" outlineLevel="1" x14ac:dyDescent="0.2">
      <c r="A1021" s="49" t="s">
        <v>1423</v>
      </c>
      <c r="B1021" s="108">
        <v>43060</v>
      </c>
      <c r="C1021" s="89">
        <v>43465</v>
      </c>
      <c r="D1021" s="159">
        <v>50</v>
      </c>
      <c r="E1021" s="123">
        <v>10726.22</v>
      </c>
      <c r="F1021" s="123"/>
      <c r="G1021" s="123"/>
      <c r="H1021" s="33">
        <f t="shared" si="74"/>
        <v>10726.22</v>
      </c>
      <c r="I1021" s="43">
        <f t="shared" si="75"/>
        <v>10726.22</v>
      </c>
      <c r="J1021" s="102"/>
      <c r="K1021" s="71"/>
    </row>
    <row r="1022" spans="1:11" s="44" customFormat="1" outlineLevel="1" x14ac:dyDescent="0.2">
      <c r="A1022" s="49" t="s">
        <v>457</v>
      </c>
      <c r="B1022" s="108">
        <v>43040</v>
      </c>
      <c r="C1022" s="89">
        <v>43465</v>
      </c>
      <c r="D1022" s="159">
        <v>50</v>
      </c>
      <c r="E1022" s="123">
        <v>16740.68</v>
      </c>
      <c r="F1022" s="123"/>
      <c r="G1022" s="123"/>
      <c r="H1022" s="33">
        <f t="shared" si="74"/>
        <v>16740.68</v>
      </c>
      <c r="I1022" s="43">
        <f t="shared" si="75"/>
        <v>16740.68</v>
      </c>
      <c r="J1022" s="102"/>
      <c r="K1022" s="71"/>
    </row>
    <row r="1023" spans="1:11" s="44" customFormat="1" ht="24" outlineLevel="1" x14ac:dyDescent="0.2">
      <c r="A1023" s="49" t="s">
        <v>519</v>
      </c>
      <c r="B1023" s="108">
        <v>43027</v>
      </c>
      <c r="C1023" s="89">
        <v>43465</v>
      </c>
      <c r="D1023" s="159">
        <v>55</v>
      </c>
      <c r="E1023" s="123">
        <v>64032</v>
      </c>
      <c r="F1023" s="123">
        <v>66734.61</v>
      </c>
      <c r="G1023" s="123"/>
      <c r="H1023" s="33">
        <f t="shared" si="74"/>
        <v>130766.61</v>
      </c>
      <c r="I1023" s="43">
        <f t="shared" si="75"/>
        <v>130766.61</v>
      </c>
      <c r="J1023" s="102"/>
      <c r="K1023" s="71"/>
    </row>
    <row r="1024" spans="1:11" s="44" customFormat="1" ht="24" outlineLevel="1" x14ac:dyDescent="0.2">
      <c r="A1024" s="49" t="s">
        <v>504</v>
      </c>
      <c r="B1024" s="108">
        <v>42782</v>
      </c>
      <c r="C1024" s="89">
        <v>43465</v>
      </c>
      <c r="D1024" s="159">
        <v>90</v>
      </c>
      <c r="E1024" s="123">
        <v>64377.5</v>
      </c>
      <c r="F1024" s="123">
        <v>515782.2</v>
      </c>
      <c r="G1024" s="123"/>
      <c r="H1024" s="33">
        <f t="shared" si="74"/>
        <v>580159.69999999995</v>
      </c>
      <c r="I1024" s="43">
        <f t="shared" si="75"/>
        <v>580159.69999999995</v>
      </c>
      <c r="J1024" s="102"/>
      <c r="K1024" s="71"/>
    </row>
    <row r="1025" spans="1:11" s="44" customFormat="1" outlineLevel="1" x14ac:dyDescent="0.2">
      <c r="A1025" s="49" t="s">
        <v>490</v>
      </c>
      <c r="B1025" s="108">
        <v>43005</v>
      </c>
      <c r="C1025" s="89">
        <v>43465</v>
      </c>
      <c r="D1025" s="159">
        <v>70</v>
      </c>
      <c r="E1025" s="123">
        <v>14107.37</v>
      </c>
      <c r="F1025" s="123">
        <v>65067.18</v>
      </c>
      <c r="G1025" s="123"/>
      <c r="H1025" s="33">
        <f t="shared" si="74"/>
        <v>79174.55</v>
      </c>
      <c r="I1025" s="43">
        <f t="shared" si="75"/>
        <v>79174.55</v>
      </c>
      <c r="J1025" s="102"/>
      <c r="K1025" s="71"/>
    </row>
    <row r="1026" spans="1:11" s="44" customFormat="1" ht="24" outlineLevel="1" x14ac:dyDescent="0.2">
      <c r="A1026" s="49" t="s">
        <v>580</v>
      </c>
      <c r="B1026" s="108">
        <v>43031</v>
      </c>
      <c r="C1026" s="89">
        <v>43465</v>
      </c>
      <c r="D1026" s="159">
        <v>50</v>
      </c>
      <c r="E1026" s="123">
        <v>11779.5</v>
      </c>
      <c r="F1026" s="123"/>
      <c r="G1026" s="123"/>
      <c r="H1026" s="33">
        <f t="shared" si="74"/>
        <v>11779.5</v>
      </c>
      <c r="I1026" s="43">
        <f t="shared" si="75"/>
        <v>11779.5</v>
      </c>
      <c r="J1026" s="102"/>
      <c r="K1026" s="71"/>
    </row>
    <row r="1027" spans="1:11" s="44" customFormat="1" ht="24" outlineLevel="1" x14ac:dyDescent="0.2">
      <c r="A1027" s="49" t="s">
        <v>498</v>
      </c>
      <c r="B1027" s="108">
        <v>43069</v>
      </c>
      <c r="C1027" s="89">
        <v>43465</v>
      </c>
      <c r="D1027" s="159">
        <v>30</v>
      </c>
      <c r="E1027" s="123">
        <v>11779.5</v>
      </c>
      <c r="F1027" s="123"/>
      <c r="G1027" s="123"/>
      <c r="H1027" s="33">
        <f t="shared" si="74"/>
        <v>11779.5</v>
      </c>
      <c r="I1027" s="43">
        <f t="shared" si="75"/>
        <v>11779.5</v>
      </c>
      <c r="J1027" s="102"/>
      <c r="K1027" s="71"/>
    </row>
    <row r="1028" spans="1:11" s="44" customFormat="1" outlineLevel="1" x14ac:dyDescent="0.2">
      <c r="A1028" s="49" t="s">
        <v>578</v>
      </c>
      <c r="B1028" s="108">
        <v>43082</v>
      </c>
      <c r="C1028" s="89">
        <v>43465</v>
      </c>
      <c r="D1028" s="159">
        <v>50</v>
      </c>
      <c r="E1028" s="123">
        <v>11779.5</v>
      </c>
      <c r="F1028" s="123"/>
      <c r="G1028" s="123"/>
      <c r="H1028" s="33">
        <f t="shared" si="74"/>
        <v>11779.5</v>
      </c>
      <c r="I1028" s="43">
        <f t="shared" si="75"/>
        <v>11779.5</v>
      </c>
      <c r="J1028" s="102"/>
      <c r="K1028" s="71"/>
    </row>
    <row r="1029" spans="1:11" s="44" customFormat="1" ht="24" outlineLevel="1" x14ac:dyDescent="0.2">
      <c r="A1029" s="49" t="s">
        <v>574</v>
      </c>
      <c r="B1029" s="108">
        <v>43070</v>
      </c>
      <c r="C1029" s="89">
        <v>43465</v>
      </c>
      <c r="D1029" s="159">
        <v>60</v>
      </c>
      <c r="E1029" s="123">
        <v>11652.97</v>
      </c>
      <c r="F1029" s="123">
        <v>43113.09</v>
      </c>
      <c r="G1029" s="123"/>
      <c r="H1029" s="33">
        <f t="shared" si="74"/>
        <v>54766.06</v>
      </c>
      <c r="I1029" s="43">
        <f t="shared" si="75"/>
        <v>54766.06</v>
      </c>
      <c r="J1029" s="102"/>
      <c r="K1029" s="71"/>
    </row>
    <row r="1030" spans="1:11" s="44" customFormat="1" ht="24" outlineLevel="1" x14ac:dyDescent="0.2">
      <c r="A1030" s="49" t="s">
        <v>496</v>
      </c>
      <c r="B1030" s="108">
        <v>43235</v>
      </c>
      <c r="C1030" s="89">
        <v>43465</v>
      </c>
      <c r="D1030" s="159">
        <v>70</v>
      </c>
      <c r="E1030" s="123">
        <v>19953.009999999998</v>
      </c>
      <c r="F1030" s="123">
        <v>33291.57</v>
      </c>
      <c r="G1030" s="123"/>
      <c r="H1030" s="33">
        <f t="shared" si="74"/>
        <v>53244.58</v>
      </c>
      <c r="I1030" s="43">
        <f t="shared" si="75"/>
        <v>53244.58</v>
      </c>
      <c r="J1030" s="102"/>
      <c r="K1030" s="71"/>
    </row>
    <row r="1031" spans="1:11" s="44" customFormat="1" ht="24" outlineLevel="1" x14ac:dyDescent="0.2">
      <c r="A1031" s="49" t="s">
        <v>586</v>
      </c>
      <c r="B1031" s="108">
        <v>43033</v>
      </c>
      <c r="C1031" s="89">
        <v>43465</v>
      </c>
      <c r="D1031" s="159">
        <v>50</v>
      </c>
      <c r="E1031" s="123">
        <v>17725.939999999999</v>
      </c>
      <c r="F1031" s="123"/>
      <c r="G1031" s="123"/>
      <c r="H1031" s="33">
        <f t="shared" si="74"/>
        <v>17725.939999999999</v>
      </c>
      <c r="I1031" s="43">
        <f t="shared" si="75"/>
        <v>17725.939999999999</v>
      </c>
      <c r="J1031" s="102"/>
      <c r="K1031" s="71"/>
    </row>
    <row r="1032" spans="1:11" s="44" customFormat="1" outlineLevel="1" x14ac:dyDescent="0.2">
      <c r="A1032" s="49" t="s">
        <v>446</v>
      </c>
      <c r="B1032" s="108">
        <v>43088</v>
      </c>
      <c r="C1032" s="89">
        <v>43465</v>
      </c>
      <c r="D1032" s="159">
        <v>80</v>
      </c>
      <c r="E1032" s="123">
        <v>5034.95</v>
      </c>
      <c r="F1032" s="123">
        <v>40657.99</v>
      </c>
      <c r="G1032" s="123"/>
      <c r="H1032" s="33">
        <f t="shared" si="74"/>
        <v>45692.939999999995</v>
      </c>
      <c r="I1032" s="43">
        <f t="shared" si="75"/>
        <v>45692.939999999995</v>
      </c>
      <c r="J1032" s="102"/>
      <c r="K1032" s="71"/>
    </row>
    <row r="1033" spans="1:11" s="44" customFormat="1" outlineLevel="1" x14ac:dyDescent="0.2">
      <c r="A1033" s="49" t="s">
        <v>476</v>
      </c>
      <c r="B1033" s="108">
        <v>43088</v>
      </c>
      <c r="C1033" s="89">
        <v>43465</v>
      </c>
      <c r="D1033" s="159">
        <v>80</v>
      </c>
      <c r="E1033" s="123">
        <v>11693.23</v>
      </c>
      <c r="F1033" s="123"/>
      <c r="G1033" s="123"/>
      <c r="H1033" s="33">
        <f t="shared" si="74"/>
        <v>11693.23</v>
      </c>
      <c r="I1033" s="43">
        <f t="shared" si="75"/>
        <v>11693.23</v>
      </c>
      <c r="J1033" s="102"/>
      <c r="K1033" s="71"/>
    </row>
    <row r="1034" spans="1:11" s="44" customFormat="1" outlineLevel="1" x14ac:dyDescent="0.2">
      <c r="A1034" s="49" t="s">
        <v>488</v>
      </c>
      <c r="B1034" s="108">
        <v>43063</v>
      </c>
      <c r="C1034" s="89">
        <v>43465</v>
      </c>
      <c r="D1034" s="159">
        <v>60</v>
      </c>
      <c r="E1034" s="123">
        <v>11693.23</v>
      </c>
      <c r="F1034" s="123">
        <v>94395.75</v>
      </c>
      <c r="G1034" s="123"/>
      <c r="H1034" s="33">
        <f t="shared" si="74"/>
        <v>106088.98</v>
      </c>
      <c r="I1034" s="43">
        <f t="shared" si="75"/>
        <v>106088.98</v>
      </c>
      <c r="J1034" s="102"/>
      <c r="K1034" s="71"/>
    </row>
    <row r="1035" spans="1:11" s="44" customFormat="1" ht="24" outlineLevel="1" x14ac:dyDescent="0.2">
      <c r="A1035" s="49" t="s">
        <v>1424</v>
      </c>
      <c r="B1035" s="108">
        <v>43081</v>
      </c>
      <c r="C1035" s="89">
        <v>43465</v>
      </c>
      <c r="D1035" s="159">
        <v>80</v>
      </c>
      <c r="E1035" s="123">
        <v>8387.8700000000008</v>
      </c>
      <c r="F1035" s="123">
        <v>36710.17</v>
      </c>
      <c r="G1035" s="123"/>
      <c r="H1035" s="33">
        <f t="shared" si="74"/>
        <v>45098.04</v>
      </c>
      <c r="I1035" s="43">
        <f t="shared" si="75"/>
        <v>45098.04</v>
      </c>
      <c r="J1035" s="102"/>
      <c r="K1035" s="71"/>
    </row>
    <row r="1036" spans="1:11" s="44" customFormat="1" outlineLevel="1" x14ac:dyDescent="0.2">
      <c r="A1036" s="49" t="s">
        <v>1057</v>
      </c>
      <c r="B1036" s="108">
        <v>43195</v>
      </c>
      <c r="C1036" s="89">
        <v>43465</v>
      </c>
      <c r="D1036" s="159">
        <v>90</v>
      </c>
      <c r="E1036" s="123">
        <v>10777.7</v>
      </c>
      <c r="F1036" s="123">
        <v>1513.01</v>
      </c>
      <c r="G1036" s="123"/>
      <c r="H1036" s="33">
        <f t="shared" si="74"/>
        <v>12290.710000000001</v>
      </c>
      <c r="I1036" s="43">
        <f t="shared" si="75"/>
        <v>12290.710000000001</v>
      </c>
      <c r="J1036" s="102"/>
      <c r="K1036" s="71"/>
    </row>
    <row r="1037" spans="1:11" s="44" customFormat="1" ht="24" outlineLevel="1" x14ac:dyDescent="0.2">
      <c r="A1037" s="49" t="s">
        <v>487</v>
      </c>
      <c r="B1037" s="108">
        <v>43096</v>
      </c>
      <c r="C1037" s="89">
        <v>43465</v>
      </c>
      <c r="D1037" s="159">
        <v>60</v>
      </c>
      <c r="E1037" s="123">
        <v>8402.6200000000008</v>
      </c>
      <c r="F1037" s="123"/>
      <c r="G1037" s="123"/>
      <c r="H1037" s="33">
        <f t="shared" si="74"/>
        <v>8402.6200000000008</v>
      </c>
      <c r="I1037" s="43">
        <f t="shared" si="75"/>
        <v>8402.6200000000008</v>
      </c>
      <c r="J1037" s="102"/>
      <c r="K1037" s="71"/>
    </row>
    <row r="1038" spans="1:11" s="44" customFormat="1" ht="24" outlineLevel="1" x14ac:dyDescent="0.2">
      <c r="A1038" s="49" t="s">
        <v>515</v>
      </c>
      <c r="B1038" s="108">
        <v>42886</v>
      </c>
      <c r="C1038" s="89">
        <v>43465</v>
      </c>
      <c r="D1038" s="159">
        <v>70</v>
      </c>
      <c r="E1038" s="123">
        <v>64666.6</v>
      </c>
      <c r="F1038" s="123"/>
      <c r="G1038" s="123"/>
      <c r="H1038" s="33">
        <f t="shared" si="74"/>
        <v>64666.6</v>
      </c>
      <c r="I1038" s="43">
        <f t="shared" si="75"/>
        <v>64666.6</v>
      </c>
      <c r="J1038" s="102"/>
      <c r="K1038" s="71"/>
    </row>
    <row r="1039" spans="1:11" s="44" customFormat="1" outlineLevel="1" x14ac:dyDescent="0.2">
      <c r="A1039" s="49" t="s">
        <v>478</v>
      </c>
      <c r="B1039" s="108">
        <v>43010</v>
      </c>
      <c r="C1039" s="89">
        <v>43465</v>
      </c>
      <c r="D1039" s="159">
        <v>60</v>
      </c>
      <c r="E1039" s="123">
        <v>7867.04</v>
      </c>
      <c r="F1039" s="123">
        <v>28362.49</v>
      </c>
      <c r="G1039" s="123"/>
      <c r="H1039" s="33">
        <f t="shared" si="74"/>
        <v>36229.53</v>
      </c>
      <c r="I1039" s="43">
        <f t="shared" si="75"/>
        <v>36229.53</v>
      </c>
      <c r="J1039" s="102"/>
      <c r="K1039" s="71"/>
    </row>
    <row r="1040" spans="1:11" s="44" customFormat="1" ht="24" outlineLevel="1" x14ac:dyDescent="0.2">
      <c r="A1040" s="49" t="s">
        <v>465</v>
      </c>
      <c r="B1040" s="108">
        <v>43094</v>
      </c>
      <c r="C1040" s="89">
        <v>43465</v>
      </c>
      <c r="D1040" s="159">
        <v>70</v>
      </c>
      <c r="E1040" s="123">
        <v>7682.25</v>
      </c>
      <c r="F1040" s="123">
        <v>29187.69</v>
      </c>
      <c r="G1040" s="123"/>
      <c r="H1040" s="33">
        <f t="shared" si="74"/>
        <v>36869.94</v>
      </c>
      <c r="I1040" s="43">
        <f t="shared" si="75"/>
        <v>36869.94</v>
      </c>
      <c r="J1040" s="102"/>
      <c r="K1040" s="71"/>
    </row>
    <row r="1041" spans="1:11" s="44" customFormat="1" outlineLevel="1" x14ac:dyDescent="0.2">
      <c r="A1041" s="49" t="s">
        <v>482</v>
      </c>
      <c r="B1041" s="108">
        <v>43094</v>
      </c>
      <c r="C1041" s="89">
        <v>43465</v>
      </c>
      <c r="D1041" s="159">
        <v>70</v>
      </c>
      <c r="E1041" s="123">
        <v>7682.25</v>
      </c>
      <c r="F1041" s="123">
        <v>29706.55</v>
      </c>
      <c r="G1041" s="123"/>
      <c r="H1041" s="33">
        <f t="shared" ref="H1041:H1104" si="76">E1041+F1041+G1041</f>
        <v>37388.800000000003</v>
      </c>
      <c r="I1041" s="43">
        <f t="shared" ref="I1041:I1104" si="77">H1041</f>
        <v>37388.800000000003</v>
      </c>
      <c r="J1041" s="102"/>
      <c r="K1041" s="71"/>
    </row>
    <row r="1042" spans="1:11" s="44" customFormat="1" ht="24" outlineLevel="1" x14ac:dyDescent="0.2">
      <c r="A1042" s="49" t="s">
        <v>583</v>
      </c>
      <c r="B1042" s="108">
        <v>43006</v>
      </c>
      <c r="C1042" s="89">
        <v>43465</v>
      </c>
      <c r="D1042" s="159">
        <v>50</v>
      </c>
      <c r="E1042" s="123">
        <v>7715.82</v>
      </c>
      <c r="F1042" s="123">
        <v>120399.84</v>
      </c>
      <c r="G1042" s="123"/>
      <c r="H1042" s="33">
        <f t="shared" si="76"/>
        <v>128115.66</v>
      </c>
      <c r="I1042" s="43">
        <f t="shared" si="77"/>
        <v>128115.66</v>
      </c>
      <c r="J1042" s="102"/>
      <c r="K1042" s="71"/>
    </row>
    <row r="1043" spans="1:11" s="44" customFormat="1" ht="24" outlineLevel="1" x14ac:dyDescent="0.2">
      <c r="A1043" s="49" t="s">
        <v>463</v>
      </c>
      <c r="B1043" s="108">
        <v>43082</v>
      </c>
      <c r="C1043" s="89">
        <v>43465</v>
      </c>
      <c r="D1043" s="159">
        <v>75</v>
      </c>
      <c r="E1043" s="123">
        <v>11021.18</v>
      </c>
      <c r="F1043" s="123">
        <v>31160.66</v>
      </c>
      <c r="G1043" s="123"/>
      <c r="H1043" s="33">
        <f t="shared" si="76"/>
        <v>42181.84</v>
      </c>
      <c r="I1043" s="43">
        <f t="shared" si="77"/>
        <v>42181.84</v>
      </c>
      <c r="J1043" s="102"/>
      <c r="K1043" s="71"/>
    </row>
    <row r="1044" spans="1:11" s="44" customFormat="1" ht="24" outlineLevel="1" x14ac:dyDescent="0.2">
      <c r="A1044" s="49" t="s">
        <v>536</v>
      </c>
      <c r="B1044" s="108">
        <v>43125</v>
      </c>
      <c r="C1044" s="89">
        <v>43465</v>
      </c>
      <c r="D1044" s="159">
        <v>70</v>
      </c>
      <c r="E1044" s="123">
        <v>11184.16</v>
      </c>
      <c r="F1044" s="123">
        <v>33579.550000000003</v>
      </c>
      <c r="G1044" s="123"/>
      <c r="H1044" s="33">
        <f t="shared" si="76"/>
        <v>44763.710000000006</v>
      </c>
      <c r="I1044" s="43">
        <f t="shared" si="77"/>
        <v>44763.710000000006</v>
      </c>
      <c r="J1044" s="102"/>
      <c r="K1044" s="71"/>
    </row>
    <row r="1045" spans="1:11" s="44" customFormat="1" ht="24" outlineLevel="1" x14ac:dyDescent="0.2">
      <c r="A1045" s="49" t="s">
        <v>539</v>
      </c>
      <c r="B1045" s="108">
        <v>43089</v>
      </c>
      <c r="C1045" s="89">
        <v>43465</v>
      </c>
      <c r="D1045" s="159">
        <v>70</v>
      </c>
      <c r="E1045" s="123">
        <v>18678.240000000002</v>
      </c>
      <c r="F1045" s="123">
        <v>165563.95000000001</v>
      </c>
      <c r="G1045" s="123"/>
      <c r="H1045" s="33">
        <f t="shared" si="76"/>
        <v>184242.19</v>
      </c>
      <c r="I1045" s="43">
        <f t="shared" si="77"/>
        <v>184242.19</v>
      </c>
      <c r="J1045" s="102"/>
      <c r="K1045" s="71"/>
    </row>
    <row r="1046" spans="1:11" s="44" customFormat="1" ht="24" outlineLevel="1" x14ac:dyDescent="0.2">
      <c r="A1046" s="49" t="s">
        <v>545</v>
      </c>
      <c r="B1046" s="108">
        <v>43109</v>
      </c>
      <c r="C1046" s="89">
        <v>43465</v>
      </c>
      <c r="D1046" s="159">
        <v>50</v>
      </c>
      <c r="E1046" s="123">
        <v>11021.18</v>
      </c>
      <c r="F1046" s="123">
        <v>31205.18</v>
      </c>
      <c r="G1046" s="123"/>
      <c r="H1046" s="33">
        <f t="shared" si="76"/>
        <v>42226.36</v>
      </c>
      <c r="I1046" s="43">
        <f t="shared" si="77"/>
        <v>42226.36</v>
      </c>
      <c r="J1046" s="102"/>
      <c r="K1046" s="71"/>
    </row>
    <row r="1047" spans="1:11" s="44" customFormat="1" ht="24" outlineLevel="1" x14ac:dyDescent="0.2">
      <c r="A1047" s="49" t="s">
        <v>543</v>
      </c>
      <c r="B1047" s="108">
        <v>43115</v>
      </c>
      <c r="C1047" s="89">
        <v>43465</v>
      </c>
      <c r="D1047" s="159">
        <v>50</v>
      </c>
      <c r="E1047" s="123">
        <v>11401.98</v>
      </c>
      <c r="F1047" s="123"/>
      <c r="G1047" s="123"/>
      <c r="H1047" s="33">
        <f t="shared" si="76"/>
        <v>11401.98</v>
      </c>
      <c r="I1047" s="43">
        <f t="shared" si="77"/>
        <v>11401.98</v>
      </c>
      <c r="J1047" s="102"/>
      <c r="K1047" s="71"/>
    </row>
    <row r="1048" spans="1:11" s="44" customFormat="1" ht="24" outlineLevel="1" x14ac:dyDescent="0.2">
      <c r="A1048" s="49" t="s">
        <v>442</v>
      </c>
      <c r="B1048" s="108">
        <v>43123</v>
      </c>
      <c r="C1048" s="89">
        <v>43465</v>
      </c>
      <c r="D1048" s="159">
        <v>55</v>
      </c>
      <c r="E1048" s="123">
        <v>18736.14</v>
      </c>
      <c r="F1048" s="123">
        <v>51565.14</v>
      </c>
      <c r="G1048" s="123"/>
      <c r="H1048" s="33">
        <f t="shared" si="76"/>
        <v>70301.279999999999</v>
      </c>
      <c r="I1048" s="43">
        <f t="shared" si="77"/>
        <v>70301.279999999999</v>
      </c>
      <c r="J1048" s="102"/>
      <c r="K1048" s="71"/>
    </row>
    <row r="1049" spans="1:11" s="44" customFormat="1" ht="24" outlineLevel="1" x14ac:dyDescent="0.2">
      <c r="A1049" s="49" t="s">
        <v>544</v>
      </c>
      <c r="B1049" s="108">
        <v>43129</v>
      </c>
      <c r="C1049" s="89">
        <v>43465</v>
      </c>
      <c r="D1049" s="159">
        <v>50</v>
      </c>
      <c r="E1049" s="123">
        <v>11784.94</v>
      </c>
      <c r="F1049" s="123"/>
      <c r="G1049" s="123"/>
      <c r="H1049" s="33">
        <f t="shared" si="76"/>
        <v>11784.94</v>
      </c>
      <c r="I1049" s="43">
        <f t="shared" si="77"/>
        <v>11784.94</v>
      </c>
      <c r="J1049" s="102"/>
      <c r="K1049" s="71"/>
    </row>
    <row r="1050" spans="1:11" s="44" customFormat="1" ht="24" outlineLevel="1" x14ac:dyDescent="0.2">
      <c r="A1050" s="49" t="s">
        <v>514</v>
      </c>
      <c r="B1050" s="108">
        <v>43068</v>
      </c>
      <c r="C1050" s="89">
        <v>43465</v>
      </c>
      <c r="D1050" s="159">
        <v>70</v>
      </c>
      <c r="E1050" s="123">
        <v>17961.5</v>
      </c>
      <c r="F1050" s="123">
        <v>103372.92</v>
      </c>
      <c r="G1050" s="123"/>
      <c r="H1050" s="33">
        <f t="shared" si="76"/>
        <v>121334.42</v>
      </c>
      <c r="I1050" s="43">
        <f t="shared" si="77"/>
        <v>121334.42</v>
      </c>
      <c r="J1050" s="102"/>
      <c r="K1050" s="71"/>
    </row>
    <row r="1051" spans="1:11" s="44" customFormat="1" outlineLevel="1" x14ac:dyDescent="0.2">
      <c r="A1051" s="49" t="s">
        <v>422</v>
      </c>
      <c r="B1051" s="108">
        <v>43125</v>
      </c>
      <c r="C1051" s="89">
        <v>43465</v>
      </c>
      <c r="D1051" s="159">
        <v>40</v>
      </c>
      <c r="E1051" s="123">
        <v>10987.61</v>
      </c>
      <c r="F1051" s="123">
        <v>37339.33</v>
      </c>
      <c r="G1051" s="123"/>
      <c r="H1051" s="33">
        <f t="shared" si="76"/>
        <v>48326.94</v>
      </c>
      <c r="I1051" s="43">
        <f t="shared" si="77"/>
        <v>48326.94</v>
      </c>
      <c r="J1051" s="102"/>
      <c r="K1051" s="71"/>
    </row>
    <row r="1052" spans="1:11" s="44" customFormat="1" ht="24" outlineLevel="1" x14ac:dyDescent="0.2">
      <c r="A1052" s="49" t="s">
        <v>533</v>
      </c>
      <c r="B1052" s="108">
        <v>43070</v>
      </c>
      <c r="C1052" s="89">
        <v>43465</v>
      </c>
      <c r="D1052" s="159">
        <v>75</v>
      </c>
      <c r="E1052" s="123">
        <v>17619.93</v>
      </c>
      <c r="F1052" s="123"/>
      <c r="G1052" s="123"/>
      <c r="H1052" s="33">
        <f t="shared" si="76"/>
        <v>17619.93</v>
      </c>
      <c r="I1052" s="43">
        <f t="shared" si="77"/>
        <v>17619.93</v>
      </c>
      <c r="J1052" s="102"/>
      <c r="K1052" s="71"/>
    </row>
    <row r="1053" spans="1:11" s="44" customFormat="1" outlineLevel="1" x14ac:dyDescent="0.2">
      <c r="A1053" s="49" t="s">
        <v>522</v>
      </c>
      <c r="B1053" s="108">
        <v>43094</v>
      </c>
      <c r="C1053" s="89">
        <v>43465</v>
      </c>
      <c r="D1053" s="159">
        <v>40</v>
      </c>
      <c r="E1053" s="123">
        <v>23656.35</v>
      </c>
      <c r="F1053" s="123"/>
      <c r="G1053" s="123"/>
      <c r="H1053" s="33">
        <f t="shared" si="76"/>
        <v>23656.35</v>
      </c>
      <c r="I1053" s="43">
        <f t="shared" si="77"/>
        <v>23656.35</v>
      </c>
      <c r="J1053" s="102"/>
      <c r="K1053" s="71"/>
    </row>
    <row r="1054" spans="1:11" s="44" customFormat="1" ht="24" outlineLevel="1" x14ac:dyDescent="0.2">
      <c r="A1054" s="49" t="s">
        <v>441</v>
      </c>
      <c r="B1054" s="108">
        <v>43112</v>
      </c>
      <c r="C1054" s="89">
        <v>43465</v>
      </c>
      <c r="D1054" s="159">
        <v>55</v>
      </c>
      <c r="E1054" s="123">
        <v>23302.93</v>
      </c>
      <c r="F1054" s="123"/>
      <c r="G1054" s="123"/>
      <c r="H1054" s="33">
        <f t="shared" si="76"/>
        <v>23302.93</v>
      </c>
      <c r="I1054" s="43">
        <f t="shared" si="77"/>
        <v>23302.93</v>
      </c>
      <c r="J1054" s="102"/>
      <c r="K1054" s="71"/>
    </row>
    <row r="1055" spans="1:11" s="44" customFormat="1" ht="24" outlineLevel="1" x14ac:dyDescent="0.2">
      <c r="A1055" s="49" t="s">
        <v>447</v>
      </c>
      <c r="B1055" s="108">
        <v>43097</v>
      </c>
      <c r="C1055" s="89">
        <v>43465</v>
      </c>
      <c r="D1055" s="159">
        <v>65</v>
      </c>
      <c r="E1055" s="123">
        <v>68552.600000000006</v>
      </c>
      <c r="F1055" s="123">
        <v>78393.210000000006</v>
      </c>
      <c r="G1055" s="123"/>
      <c r="H1055" s="33">
        <f t="shared" si="76"/>
        <v>146945.81</v>
      </c>
      <c r="I1055" s="43">
        <f t="shared" si="77"/>
        <v>146945.81</v>
      </c>
      <c r="J1055" s="102"/>
      <c r="K1055" s="71"/>
    </row>
    <row r="1056" spans="1:11" s="44" customFormat="1" outlineLevel="1" x14ac:dyDescent="0.2">
      <c r="A1056" s="49" t="s">
        <v>499</v>
      </c>
      <c r="B1056" s="108">
        <v>43074</v>
      </c>
      <c r="C1056" s="89">
        <v>43465</v>
      </c>
      <c r="D1056" s="159">
        <v>50</v>
      </c>
      <c r="E1056" s="123">
        <v>11273.32</v>
      </c>
      <c r="F1056" s="123"/>
      <c r="G1056" s="123"/>
      <c r="H1056" s="33">
        <f t="shared" si="76"/>
        <v>11273.32</v>
      </c>
      <c r="I1056" s="43">
        <f t="shared" si="77"/>
        <v>11273.32</v>
      </c>
      <c r="J1056" s="102"/>
      <c r="K1056" s="71"/>
    </row>
    <row r="1057" spans="1:11" s="44" customFormat="1" outlineLevel="1" x14ac:dyDescent="0.2">
      <c r="A1057" s="49" t="s">
        <v>489</v>
      </c>
      <c r="B1057" s="108">
        <v>43066</v>
      </c>
      <c r="C1057" s="89">
        <v>43465</v>
      </c>
      <c r="D1057" s="159">
        <v>70</v>
      </c>
      <c r="E1057" s="123">
        <v>3305.36</v>
      </c>
      <c r="F1057" s="123"/>
      <c r="G1057" s="123"/>
      <c r="H1057" s="33">
        <f t="shared" si="76"/>
        <v>3305.36</v>
      </c>
      <c r="I1057" s="43">
        <f t="shared" si="77"/>
        <v>3305.36</v>
      </c>
      <c r="J1057" s="102"/>
      <c r="K1057" s="71"/>
    </row>
    <row r="1058" spans="1:11" s="44" customFormat="1" ht="24" outlineLevel="1" x14ac:dyDescent="0.2">
      <c r="A1058" s="49" t="s">
        <v>470</v>
      </c>
      <c r="B1058" s="108">
        <v>42704</v>
      </c>
      <c r="C1058" s="89">
        <v>43465</v>
      </c>
      <c r="D1058" s="159">
        <v>60</v>
      </c>
      <c r="E1058" s="123">
        <v>17615.59</v>
      </c>
      <c r="F1058" s="123"/>
      <c r="G1058" s="123"/>
      <c r="H1058" s="33">
        <f t="shared" si="76"/>
        <v>17615.59</v>
      </c>
      <c r="I1058" s="43">
        <f t="shared" si="77"/>
        <v>17615.59</v>
      </c>
      <c r="J1058" s="102"/>
      <c r="K1058" s="71"/>
    </row>
    <row r="1059" spans="1:11" s="44" customFormat="1" outlineLevel="1" x14ac:dyDescent="0.2">
      <c r="A1059" s="49" t="s">
        <v>534</v>
      </c>
      <c r="B1059" s="108">
        <v>42815</v>
      </c>
      <c r="C1059" s="89">
        <v>43465</v>
      </c>
      <c r="D1059" s="159">
        <v>40</v>
      </c>
      <c r="E1059" s="123">
        <v>20557.919999999998</v>
      </c>
      <c r="F1059" s="123"/>
      <c r="G1059" s="123"/>
      <c r="H1059" s="33">
        <f t="shared" si="76"/>
        <v>20557.919999999998</v>
      </c>
      <c r="I1059" s="43">
        <f t="shared" si="77"/>
        <v>20557.919999999998</v>
      </c>
      <c r="J1059" s="102"/>
      <c r="K1059" s="71"/>
    </row>
    <row r="1060" spans="1:11" s="44" customFormat="1" outlineLevel="1" x14ac:dyDescent="0.2">
      <c r="A1060" s="49" t="s">
        <v>996</v>
      </c>
      <c r="B1060" s="108">
        <v>43062</v>
      </c>
      <c r="C1060" s="89">
        <v>43465</v>
      </c>
      <c r="D1060" s="159">
        <v>70</v>
      </c>
      <c r="E1060" s="123">
        <v>10987.61</v>
      </c>
      <c r="F1060" s="123">
        <v>34460</v>
      </c>
      <c r="G1060" s="123"/>
      <c r="H1060" s="33">
        <f t="shared" si="76"/>
        <v>45447.61</v>
      </c>
      <c r="I1060" s="43">
        <f t="shared" si="77"/>
        <v>45447.61</v>
      </c>
      <c r="J1060" s="102"/>
      <c r="K1060" s="71"/>
    </row>
    <row r="1061" spans="1:11" s="44" customFormat="1" outlineLevel="1" x14ac:dyDescent="0.2">
      <c r="A1061" s="49" t="s">
        <v>537</v>
      </c>
      <c r="B1061" s="108">
        <v>43067</v>
      </c>
      <c r="C1061" s="89">
        <v>43465</v>
      </c>
      <c r="D1061" s="159">
        <v>60</v>
      </c>
      <c r="E1061" s="123">
        <v>18630.45</v>
      </c>
      <c r="F1061" s="123">
        <v>40731.78</v>
      </c>
      <c r="G1061" s="123"/>
      <c r="H1061" s="33">
        <f t="shared" si="76"/>
        <v>59362.229999999996</v>
      </c>
      <c r="I1061" s="43">
        <f t="shared" si="77"/>
        <v>59362.229999999996</v>
      </c>
      <c r="J1061" s="102"/>
      <c r="K1061" s="71"/>
    </row>
    <row r="1062" spans="1:11" s="44" customFormat="1" outlineLevel="1" x14ac:dyDescent="0.2">
      <c r="A1062" s="49" t="s">
        <v>538</v>
      </c>
      <c r="B1062" s="108">
        <v>43069</v>
      </c>
      <c r="C1062" s="89">
        <v>43465</v>
      </c>
      <c r="D1062" s="159">
        <v>60</v>
      </c>
      <c r="E1062" s="123">
        <v>18630.45</v>
      </c>
      <c r="F1062" s="123">
        <v>40216.639999999999</v>
      </c>
      <c r="G1062" s="123"/>
      <c r="H1062" s="33">
        <f t="shared" si="76"/>
        <v>58847.09</v>
      </c>
      <c r="I1062" s="43">
        <f t="shared" si="77"/>
        <v>58847.09</v>
      </c>
      <c r="J1062" s="102"/>
      <c r="K1062" s="71"/>
    </row>
    <row r="1063" spans="1:11" s="44" customFormat="1" outlineLevel="1" x14ac:dyDescent="0.2">
      <c r="A1063" s="49" t="s">
        <v>540</v>
      </c>
      <c r="B1063" s="108">
        <v>43060</v>
      </c>
      <c r="C1063" s="89">
        <v>43465</v>
      </c>
      <c r="D1063" s="159">
        <v>60</v>
      </c>
      <c r="E1063" s="123">
        <v>17567.5</v>
      </c>
      <c r="F1063" s="123"/>
      <c r="G1063" s="123"/>
      <c r="H1063" s="33">
        <f t="shared" si="76"/>
        <v>17567.5</v>
      </c>
      <c r="I1063" s="43">
        <f t="shared" si="77"/>
        <v>17567.5</v>
      </c>
      <c r="J1063" s="102"/>
      <c r="K1063" s="71"/>
    </row>
    <row r="1064" spans="1:11" s="44" customFormat="1" ht="24" outlineLevel="1" x14ac:dyDescent="0.2">
      <c r="A1064" s="49" t="s">
        <v>477</v>
      </c>
      <c r="B1064" s="108">
        <v>42978</v>
      </c>
      <c r="C1064" s="89">
        <v>43465</v>
      </c>
      <c r="D1064" s="159">
        <v>60</v>
      </c>
      <c r="E1064" s="123">
        <v>94155.36</v>
      </c>
      <c r="F1064" s="123">
        <v>395736.99</v>
      </c>
      <c r="G1064" s="123"/>
      <c r="H1064" s="33">
        <f t="shared" si="76"/>
        <v>489892.35</v>
      </c>
      <c r="I1064" s="43">
        <f t="shared" si="77"/>
        <v>489892.35</v>
      </c>
      <c r="J1064" s="102"/>
      <c r="K1064" s="71"/>
    </row>
    <row r="1065" spans="1:11" s="44" customFormat="1" ht="24" outlineLevel="1" x14ac:dyDescent="0.2">
      <c r="A1065" s="49" t="s">
        <v>468</v>
      </c>
      <c r="B1065" s="108">
        <v>43007</v>
      </c>
      <c r="C1065" s="89">
        <v>43465</v>
      </c>
      <c r="D1065" s="159">
        <v>90</v>
      </c>
      <c r="E1065" s="123">
        <v>32888.57</v>
      </c>
      <c r="F1065" s="123"/>
      <c r="G1065" s="123"/>
      <c r="H1065" s="33">
        <f t="shared" si="76"/>
        <v>32888.57</v>
      </c>
      <c r="I1065" s="43">
        <f t="shared" si="77"/>
        <v>32888.57</v>
      </c>
      <c r="J1065" s="102"/>
      <c r="K1065" s="71"/>
    </row>
    <row r="1066" spans="1:11" s="44" customFormat="1" ht="24" outlineLevel="1" x14ac:dyDescent="0.2">
      <c r="A1066" s="49" t="s">
        <v>561</v>
      </c>
      <c r="B1066" s="108">
        <v>42494</v>
      </c>
      <c r="C1066" s="89">
        <v>43465</v>
      </c>
      <c r="D1066" s="159">
        <v>60</v>
      </c>
      <c r="E1066" s="123">
        <v>6355</v>
      </c>
      <c r="F1066" s="123">
        <v>276882.38</v>
      </c>
      <c r="G1066" s="123"/>
      <c r="H1066" s="33">
        <f t="shared" si="76"/>
        <v>283237.38</v>
      </c>
      <c r="I1066" s="43">
        <f t="shared" si="77"/>
        <v>283237.38</v>
      </c>
      <c r="J1066" s="102"/>
      <c r="K1066" s="71"/>
    </row>
    <row r="1067" spans="1:11" s="44" customFormat="1" outlineLevel="1" x14ac:dyDescent="0.2">
      <c r="A1067" s="49" t="s">
        <v>541</v>
      </c>
      <c r="B1067" s="108">
        <v>43122</v>
      </c>
      <c r="C1067" s="89">
        <v>43465</v>
      </c>
      <c r="D1067" s="159">
        <v>50</v>
      </c>
      <c r="E1067" s="123">
        <v>7682.25</v>
      </c>
      <c r="F1067" s="123">
        <v>58667.8</v>
      </c>
      <c r="G1067" s="123"/>
      <c r="H1067" s="33">
        <f t="shared" si="76"/>
        <v>66350.05</v>
      </c>
      <c r="I1067" s="43">
        <f t="shared" si="77"/>
        <v>66350.05</v>
      </c>
      <c r="J1067" s="102"/>
      <c r="K1067" s="71"/>
    </row>
    <row r="1068" spans="1:11" s="44" customFormat="1" outlineLevel="1" x14ac:dyDescent="0.2">
      <c r="A1068" s="49" t="s">
        <v>553</v>
      </c>
      <c r="B1068" s="108">
        <v>43077</v>
      </c>
      <c r="C1068" s="89">
        <v>43465</v>
      </c>
      <c r="D1068" s="159">
        <v>50</v>
      </c>
      <c r="E1068" s="123">
        <v>4683.8999999999996</v>
      </c>
      <c r="F1068" s="123">
        <v>9041.56</v>
      </c>
      <c r="G1068" s="123"/>
      <c r="H1068" s="33">
        <f t="shared" si="76"/>
        <v>13725.46</v>
      </c>
      <c r="I1068" s="43">
        <f t="shared" si="77"/>
        <v>13725.46</v>
      </c>
      <c r="J1068" s="102"/>
      <c r="K1068" s="71"/>
    </row>
    <row r="1069" spans="1:11" s="44" customFormat="1" outlineLevel="1" x14ac:dyDescent="0.2">
      <c r="A1069" s="49" t="s">
        <v>560</v>
      </c>
      <c r="B1069" s="108">
        <v>43118</v>
      </c>
      <c r="C1069" s="89">
        <v>43465</v>
      </c>
      <c r="D1069" s="159">
        <v>40</v>
      </c>
      <c r="E1069" s="123">
        <v>7809.05</v>
      </c>
      <c r="F1069" s="123"/>
      <c r="G1069" s="123"/>
      <c r="H1069" s="33">
        <f t="shared" si="76"/>
        <v>7809.05</v>
      </c>
      <c r="I1069" s="43">
        <f t="shared" si="77"/>
        <v>7809.05</v>
      </c>
      <c r="J1069" s="102"/>
      <c r="K1069" s="71"/>
    </row>
    <row r="1070" spans="1:11" s="44" customFormat="1" outlineLevel="1" x14ac:dyDescent="0.2">
      <c r="A1070" s="49" t="s">
        <v>524</v>
      </c>
      <c r="B1070" s="108">
        <v>43136</v>
      </c>
      <c r="C1070" s="89">
        <v>43465</v>
      </c>
      <c r="D1070" s="159">
        <v>40</v>
      </c>
      <c r="E1070" s="123">
        <v>11114.41</v>
      </c>
      <c r="F1070" s="123">
        <v>33186.71</v>
      </c>
      <c r="G1070" s="123"/>
      <c r="H1070" s="33">
        <f t="shared" si="76"/>
        <v>44301.119999999995</v>
      </c>
      <c r="I1070" s="43">
        <f t="shared" si="77"/>
        <v>44301.119999999995</v>
      </c>
      <c r="J1070" s="102"/>
      <c r="K1070" s="71"/>
    </row>
    <row r="1071" spans="1:11" s="44" customFormat="1" ht="24" outlineLevel="1" x14ac:dyDescent="0.2">
      <c r="A1071" s="49" t="s">
        <v>1425</v>
      </c>
      <c r="B1071" s="108">
        <v>43151</v>
      </c>
      <c r="C1071" s="89">
        <v>43465</v>
      </c>
      <c r="D1071" s="159">
        <v>90</v>
      </c>
      <c r="E1071" s="123">
        <v>5110.72</v>
      </c>
      <c r="F1071" s="123">
        <v>820.65</v>
      </c>
      <c r="G1071" s="123"/>
      <c r="H1071" s="33">
        <f t="shared" si="76"/>
        <v>5931.37</v>
      </c>
      <c r="I1071" s="43">
        <f t="shared" si="77"/>
        <v>5931.37</v>
      </c>
      <c r="J1071" s="102"/>
      <c r="K1071" s="71"/>
    </row>
    <row r="1072" spans="1:11" s="44" customFormat="1" outlineLevel="1" x14ac:dyDescent="0.2">
      <c r="A1072" s="49" t="s">
        <v>973</v>
      </c>
      <c r="B1072" s="108">
        <v>43145</v>
      </c>
      <c r="C1072" s="89">
        <v>43465</v>
      </c>
      <c r="D1072" s="159">
        <v>70</v>
      </c>
      <c r="E1072" s="123">
        <v>11784.94</v>
      </c>
      <c r="F1072" s="123">
        <v>36669.86</v>
      </c>
      <c r="G1072" s="123"/>
      <c r="H1072" s="33">
        <f t="shared" si="76"/>
        <v>48454.8</v>
      </c>
      <c r="I1072" s="43">
        <f t="shared" si="77"/>
        <v>48454.8</v>
      </c>
      <c r="J1072" s="102"/>
      <c r="K1072" s="71"/>
    </row>
    <row r="1073" spans="1:11" s="44" customFormat="1" ht="24" outlineLevel="1" x14ac:dyDescent="0.2">
      <c r="A1073" s="49" t="s">
        <v>1426</v>
      </c>
      <c r="B1073" s="108">
        <v>43123</v>
      </c>
      <c r="C1073" s="89">
        <v>43465</v>
      </c>
      <c r="D1073" s="159">
        <v>90</v>
      </c>
      <c r="E1073" s="123">
        <v>11784.94</v>
      </c>
      <c r="F1073" s="123">
        <v>26679.85</v>
      </c>
      <c r="G1073" s="123"/>
      <c r="H1073" s="33">
        <f t="shared" si="76"/>
        <v>38464.79</v>
      </c>
      <c r="I1073" s="43">
        <f t="shared" si="77"/>
        <v>38464.79</v>
      </c>
      <c r="J1073" s="102"/>
      <c r="K1073" s="71"/>
    </row>
    <row r="1074" spans="1:11" s="44" customFormat="1" outlineLevel="1" x14ac:dyDescent="0.2">
      <c r="A1074" s="49" t="s">
        <v>988</v>
      </c>
      <c r="B1074" s="108">
        <v>43147</v>
      </c>
      <c r="C1074" s="89">
        <v>43465</v>
      </c>
      <c r="D1074" s="159">
        <v>70</v>
      </c>
      <c r="E1074" s="123">
        <v>11784.94</v>
      </c>
      <c r="F1074" s="123">
        <v>27018.41</v>
      </c>
      <c r="G1074" s="123"/>
      <c r="H1074" s="33">
        <f t="shared" si="76"/>
        <v>38803.35</v>
      </c>
      <c r="I1074" s="43">
        <f t="shared" si="77"/>
        <v>38803.35</v>
      </c>
      <c r="J1074" s="102"/>
      <c r="K1074" s="71"/>
    </row>
    <row r="1075" spans="1:11" s="44" customFormat="1" ht="24" outlineLevel="1" x14ac:dyDescent="0.2">
      <c r="A1075" s="49" t="s">
        <v>987</v>
      </c>
      <c r="B1075" s="108">
        <v>43131</v>
      </c>
      <c r="C1075" s="89">
        <v>43465</v>
      </c>
      <c r="D1075" s="159">
        <v>99</v>
      </c>
      <c r="E1075" s="123">
        <v>8527.3700000000008</v>
      </c>
      <c r="F1075" s="123">
        <v>43317.919999999998</v>
      </c>
      <c r="G1075" s="123"/>
      <c r="H1075" s="33">
        <f t="shared" si="76"/>
        <v>51845.29</v>
      </c>
      <c r="I1075" s="43">
        <f t="shared" si="77"/>
        <v>51845.29</v>
      </c>
      <c r="J1075" s="102"/>
      <c r="K1075" s="71"/>
    </row>
    <row r="1076" spans="1:11" s="44" customFormat="1" ht="24" outlineLevel="1" x14ac:dyDescent="0.2">
      <c r="A1076" s="49" t="s">
        <v>1003</v>
      </c>
      <c r="B1076" s="108">
        <v>43182</v>
      </c>
      <c r="C1076" s="89">
        <v>43465</v>
      </c>
      <c r="D1076" s="159">
        <v>50</v>
      </c>
      <c r="E1076" s="123">
        <v>11312.13</v>
      </c>
      <c r="F1076" s="123"/>
      <c r="G1076" s="123"/>
      <c r="H1076" s="33">
        <f t="shared" si="76"/>
        <v>11312.13</v>
      </c>
      <c r="I1076" s="43">
        <f t="shared" si="77"/>
        <v>11312.13</v>
      </c>
      <c r="J1076" s="102"/>
      <c r="K1076" s="71"/>
    </row>
    <row r="1077" spans="1:11" s="44" customFormat="1" ht="24" outlineLevel="1" x14ac:dyDescent="0.2">
      <c r="A1077" s="49" t="s">
        <v>1014</v>
      </c>
      <c r="B1077" s="108">
        <v>43031</v>
      </c>
      <c r="C1077" s="89">
        <v>43465</v>
      </c>
      <c r="D1077" s="159">
        <v>50</v>
      </c>
      <c r="E1077" s="123">
        <v>13106.71</v>
      </c>
      <c r="F1077" s="123"/>
      <c r="G1077" s="123"/>
      <c r="H1077" s="33">
        <f t="shared" si="76"/>
        <v>13106.71</v>
      </c>
      <c r="I1077" s="43">
        <f t="shared" si="77"/>
        <v>13106.71</v>
      </c>
      <c r="J1077" s="102"/>
      <c r="K1077" s="71"/>
    </row>
    <row r="1078" spans="1:11" s="44" customFormat="1" outlineLevel="1" x14ac:dyDescent="0.2">
      <c r="A1078" s="49" t="s">
        <v>998</v>
      </c>
      <c r="B1078" s="108">
        <v>43007</v>
      </c>
      <c r="C1078" s="89">
        <v>43465</v>
      </c>
      <c r="D1078" s="159">
        <v>50</v>
      </c>
      <c r="E1078" s="123">
        <v>5099.82</v>
      </c>
      <c r="F1078" s="123"/>
      <c r="G1078" s="123"/>
      <c r="H1078" s="33">
        <f t="shared" si="76"/>
        <v>5099.82</v>
      </c>
      <c r="I1078" s="43">
        <f t="shared" si="77"/>
        <v>5099.82</v>
      </c>
      <c r="J1078" s="102"/>
      <c r="K1078" s="71"/>
    </row>
    <row r="1079" spans="1:11" s="44" customFormat="1" outlineLevel="1" x14ac:dyDescent="0.2">
      <c r="A1079" s="49" t="s">
        <v>1008</v>
      </c>
      <c r="B1079" s="108">
        <v>43138</v>
      </c>
      <c r="C1079" s="89">
        <v>43465</v>
      </c>
      <c r="D1079" s="159">
        <v>70</v>
      </c>
      <c r="E1079" s="123">
        <v>11821.09</v>
      </c>
      <c r="F1079" s="123">
        <v>26716.45</v>
      </c>
      <c r="G1079" s="123"/>
      <c r="H1079" s="33">
        <f t="shared" si="76"/>
        <v>38537.54</v>
      </c>
      <c r="I1079" s="43">
        <f t="shared" si="77"/>
        <v>38537.54</v>
      </c>
      <c r="J1079" s="102"/>
      <c r="K1079" s="71"/>
    </row>
    <row r="1080" spans="1:11" s="44" customFormat="1" outlineLevel="1" x14ac:dyDescent="0.2">
      <c r="A1080" s="49" t="s">
        <v>1020</v>
      </c>
      <c r="B1080" s="108">
        <v>43171</v>
      </c>
      <c r="C1080" s="89">
        <v>43465</v>
      </c>
      <c r="D1080" s="159">
        <v>70</v>
      </c>
      <c r="E1080" s="123">
        <v>16804.3</v>
      </c>
      <c r="F1080" s="123">
        <v>43487.16</v>
      </c>
      <c r="G1080" s="123"/>
      <c r="H1080" s="33">
        <f t="shared" si="76"/>
        <v>60291.460000000006</v>
      </c>
      <c r="I1080" s="43">
        <f t="shared" si="77"/>
        <v>60291.460000000006</v>
      </c>
      <c r="J1080" s="102"/>
      <c r="K1080" s="71"/>
    </row>
    <row r="1081" spans="1:11" s="44" customFormat="1" outlineLevel="1" x14ac:dyDescent="0.2">
      <c r="A1081" s="49" t="s">
        <v>1009</v>
      </c>
      <c r="B1081" s="108">
        <v>43158</v>
      </c>
      <c r="C1081" s="89">
        <v>43465</v>
      </c>
      <c r="D1081" s="159">
        <v>70</v>
      </c>
      <c r="E1081" s="123">
        <v>11033.07</v>
      </c>
      <c r="F1081" s="123">
        <v>30881.47</v>
      </c>
      <c r="G1081" s="123"/>
      <c r="H1081" s="33">
        <f t="shared" si="76"/>
        <v>41914.54</v>
      </c>
      <c r="I1081" s="43">
        <f t="shared" si="77"/>
        <v>41914.54</v>
      </c>
      <c r="J1081" s="102"/>
      <c r="K1081" s="71"/>
    </row>
    <row r="1082" spans="1:11" s="44" customFormat="1" outlineLevel="1" x14ac:dyDescent="0.2">
      <c r="A1082" s="49" t="s">
        <v>994</v>
      </c>
      <c r="B1082" s="108">
        <v>43131</v>
      </c>
      <c r="C1082" s="89">
        <v>43465</v>
      </c>
      <c r="D1082" s="159">
        <v>99</v>
      </c>
      <c r="E1082" s="123">
        <v>11673.26</v>
      </c>
      <c r="F1082" s="123">
        <v>27083.98</v>
      </c>
      <c r="G1082" s="123"/>
      <c r="H1082" s="33">
        <f t="shared" si="76"/>
        <v>38757.24</v>
      </c>
      <c r="I1082" s="43">
        <f t="shared" si="77"/>
        <v>38757.24</v>
      </c>
      <c r="J1082" s="102"/>
      <c r="K1082" s="71"/>
    </row>
    <row r="1083" spans="1:11" s="44" customFormat="1" outlineLevel="1" x14ac:dyDescent="0.2">
      <c r="A1083" s="49" t="s">
        <v>1045</v>
      </c>
      <c r="B1083" s="108">
        <v>43160</v>
      </c>
      <c r="C1083" s="89">
        <v>43465</v>
      </c>
      <c r="D1083" s="159">
        <v>30</v>
      </c>
      <c r="E1083" s="123">
        <v>5093.2299999999996</v>
      </c>
      <c r="F1083" s="123"/>
      <c r="G1083" s="123"/>
      <c r="H1083" s="33">
        <f t="shared" si="76"/>
        <v>5093.2299999999996</v>
      </c>
      <c r="I1083" s="43">
        <f t="shared" si="77"/>
        <v>5093.2299999999996</v>
      </c>
      <c r="J1083" s="102"/>
      <c r="K1083" s="71"/>
    </row>
    <row r="1084" spans="1:11" s="44" customFormat="1" ht="24" outlineLevel="1" x14ac:dyDescent="0.2">
      <c r="A1084" s="49" t="s">
        <v>989</v>
      </c>
      <c r="B1084" s="108">
        <v>43182</v>
      </c>
      <c r="C1084" s="89">
        <v>43465</v>
      </c>
      <c r="D1084" s="159">
        <v>99</v>
      </c>
      <c r="E1084" s="123">
        <v>11312.13</v>
      </c>
      <c r="F1084" s="123">
        <v>39958.53</v>
      </c>
      <c r="G1084" s="123"/>
      <c r="H1084" s="33">
        <f t="shared" si="76"/>
        <v>51270.659999999996</v>
      </c>
      <c r="I1084" s="43">
        <f t="shared" si="77"/>
        <v>51270.659999999996</v>
      </c>
      <c r="J1084" s="102"/>
      <c r="K1084" s="71"/>
    </row>
    <row r="1085" spans="1:11" s="44" customFormat="1" ht="24" outlineLevel="1" x14ac:dyDescent="0.2">
      <c r="A1085" s="49" t="s">
        <v>1040</v>
      </c>
      <c r="B1085" s="108">
        <v>42942</v>
      </c>
      <c r="C1085" s="89">
        <v>43465</v>
      </c>
      <c r="D1085" s="159">
        <v>50</v>
      </c>
      <c r="E1085" s="123">
        <v>29800.54</v>
      </c>
      <c r="F1085" s="123"/>
      <c r="G1085" s="123"/>
      <c r="H1085" s="33">
        <f t="shared" si="76"/>
        <v>29800.54</v>
      </c>
      <c r="I1085" s="43">
        <f t="shared" si="77"/>
        <v>29800.54</v>
      </c>
      <c r="J1085" s="102"/>
      <c r="K1085" s="71"/>
    </row>
    <row r="1086" spans="1:11" s="44" customFormat="1" ht="24" outlineLevel="1" x14ac:dyDescent="0.2">
      <c r="A1086" s="49" t="s">
        <v>1038</v>
      </c>
      <c r="B1086" s="108">
        <v>43133</v>
      </c>
      <c r="C1086" s="89">
        <v>43465</v>
      </c>
      <c r="D1086" s="159">
        <v>50</v>
      </c>
      <c r="E1086" s="123">
        <v>28251.97</v>
      </c>
      <c r="F1086" s="123"/>
      <c r="G1086" s="123"/>
      <c r="H1086" s="33">
        <f t="shared" si="76"/>
        <v>28251.97</v>
      </c>
      <c r="I1086" s="43">
        <f t="shared" si="77"/>
        <v>28251.97</v>
      </c>
      <c r="J1086" s="102"/>
      <c r="K1086" s="71"/>
    </row>
    <row r="1087" spans="1:11" s="44" customFormat="1" outlineLevel="1" x14ac:dyDescent="0.2">
      <c r="A1087" s="49" t="s">
        <v>1021</v>
      </c>
      <c r="B1087" s="108">
        <v>43425</v>
      </c>
      <c r="C1087" s="89">
        <v>43465</v>
      </c>
      <c r="D1087" s="159">
        <v>30</v>
      </c>
      <c r="E1087" s="123">
        <v>1652.7</v>
      </c>
      <c r="F1087" s="123"/>
      <c r="G1087" s="123"/>
      <c r="H1087" s="33">
        <f t="shared" si="76"/>
        <v>1652.7</v>
      </c>
      <c r="I1087" s="43">
        <f t="shared" si="77"/>
        <v>1652.7</v>
      </c>
      <c r="J1087" s="102"/>
      <c r="K1087" s="71"/>
    </row>
    <row r="1088" spans="1:11" s="44" customFormat="1" outlineLevel="1" x14ac:dyDescent="0.2">
      <c r="A1088" s="49" t="s">
        <v>1022</v>
      </c>
      <c r="B1088" s="108">
        <v>43214</v>
      </c>
      <c r="C1088" s="89">
        <v>43465</v>
      </c>
      <c r="D1088" s="159">
        <v>30</v>
      </c>
      <c r="E1088" s="123">
        <v>1652.7</v>
      </c>
      <c r="F1088" s="123"/>
      <c r="G1088" s="123"/>
      <c r="H1088" s="33">
        <f t="shared" si="76"/>
        <v>1652.7</v>
      </c>
      <c r="I1088" s="43">
        <f t="shared" si="77"/>
        <v>1652.7</v>
      </c>
      <c r="J1088" s="102"/>
      <c r="K1088" s="71"/>
    </row>
    <row r="1089" spans="1:11" s="44" customFormat="1" outlineLevel="1" x14ac:dyDescent="0.2">
      <c r="A1089" s="49" t="s">
        <v>1053</v>
      </c>
      <c r="B1089" s="108">
        <v>43116</v>
      </c>
      <c r="C1089" s="89">
        <v>43465</v>
      </c>
      <c r="D1089" s="159">
        <v>70</v>
      </c>
      <c r="E1089" s="123">
        <v>17085.5</v>
      </c>
      <c r="F1089" s="123">
        <v>89366.87</v>
      </c>
      <c r="G1089" s="123"/>
      <c r="H1089" s="33">
        <f t="shared" si="76"/>
        <v>106452.37</v>
      </c>
      <c r="I1089" s="43">
        <f t="shared" si="77"/>
        <v>106452.37</v>
      </c>
      <c r="J1089" s="102"/>
      <c r="K1089" s="71"/>
    </row>
    <row r="1090" spans="1:11" s="44" customFormat="1" ht="24" outlineLevel="1" x14ac:dyDescent="0.2">
      <c r="A1090" s="49" t="s">
        <v>1006</v>
      </c>
      <c r="B1090" s="108">
        <v>43068</v>
      </c>
      <c r="C1090" s="89">
        <v>43465</v>
      </c>
      <c r="D1090" s="159">
        <v>50</v>
      </c>
      <c r="E1090" s="123">
        <v>17228.71</v>
      </c>
      <c r="F1090" s="123"/>
      <c r="G1090" s="123"/>
      <c r="H1090" s="33">
        <f t="shared" si="76"/>
        <v>17228.71</v>
      </c>
      <c r="I1090" s="43">
        <f t="shared" si="77"/>
        <v>17228.71</v>
      </c>
      <c r="J1090" s="102"/>
      <c r="K1090" s="71"/>
    </row>
    <row r="1091" spans="1:11" s="44" customFormat="1" outlineLevel="1" x14ac:dyDescent="0.2">
      <c r="A1091" s="49" t="s">
        <v>1005</v>
      </c>
      <c r="B1091" s="108">
        <v>43132</v>
      </c>
      <c r="C1091" s="89">
        <v>43465</v>
      </c>
      <c r="D1091" s="159">
        <v>70</v>
      </c>
      <c r="E1091" s="123">
        <v>11535.12</v>
      </c>
      <c r="F1091" s="123">
        <v>153102.28</v>
      </c>
      <c r="G1091" s="123"/>
      <c r="H1091" s="33">
        <f t="shared" si="76"/>
        <v>164637.4</v>
      </c>
      <c r="I1091" s="43">
        <f t="shared" si="77"/>
        <v>164637.4</v>
      </c>
      <c r="J1091" s="102"/>
      <c r="K1091" s="71"/>
    </row>
    <row r="1092" spans="1:11" s="44" customFormat="1" outlineLevel="1" x14ac:dyDescent="0.2">
      <c r="A1092" s="49" t="s">
        <v>1023</v>
      </c>
      <c r="B1092" s="108">
        <v>43096</v>
      </c>
      <c r="C1092" s="89">
        <v>43465</v>
      </c>
      <c r="D1092" s="159">
        <v>70</v>
      </c>
      <c r="E1092" s="123">
        <v>7796.34</v>
      </c>
      <c r="F1092" s="123">
        <v>147467.49</v>
      </c>
      <c r="G1092" s="123"/>
      <c r="H1092" s="33">
        <f t="shared" si="76"/>
        <v>155263.82999999999</v>
      </c>
      <c r="I1092" s="43">
        <f t="shared" si="77"/>
        <v>155263.82999999999</v>
      </c>
      <c r="J1092" s="102"/>
      <c r="K1092" s="71"/>
    </row>
    <row r="1093" spans="1:11" s="44" customFormat="1" outlineLevel="1" x14ac:dyDescent="0.2">
      <c r="A1093" s="49" t="s">
        <v>1001</v>
      </c>
      <c r="B1093" s="108">
        <v>43208</v>
      </c>
      <c r="C1093" s="89">
        <v>43465</v>
      </c>
      <c r="D1093" s="159">
        <v>90</v>
      </c>
      <c r="E1093" s="123">
        <v>8060.64</v>
      </c>
      <c r="F1093" s="123">
        <v>41908.42</v>
      </c>
      <c r="G1093" s="123"/>
      <c r="H1093" s="33">
        <f t="shared" si="76"/>
        <v>49969.06</v>
      </c>
      <c r="I1093" s="43">
        <f t="shared" si="77"/>
        <v>49969.06</v>
      </c>
      <c r="J1093" s="102"/>
      <c r="K1093" s="71"/>
    </row>
    <row r="1094" spans="1:11" s="44" customFormat="1" outlineLevel="1" x14ac:dyDescent="0.2">
      <c r="A1094" s="49" t="s">
        <v>1025</v>
      </c>
      <c r="B1094" s="108">
        <v>43133</v>
      </c>
      <c r="C1094" s="89">
        <v>43465</v>
      </c>
      <c r="D1094" s="159">
        <v>50</v>
      </c>
      <c r="E1094" s="123">
        <v>10829.43</v>
      </c>
      <c r="F1094" s="123">
        <v>33896.269999999997</v>
      </c>
      <c r="G1094" s="123"/>
      <c r="H1094" s="33">
        <f t="shared" si="76"/>
        <v>44725.7</v>
      </c>
      <c r="I1094" s="43">
        <f t="shared" si="77"/>
        <v>44725.7</v>
      </c>
      <c r="J1094" s="102"/>
      <c r="K1094" s="71"/>
    </row>
    <row r="1095" spans="1:11" s="44" customFormat="1" ht="24" outlineLevel="1" x14ac:dyDescent="0.2">
      <c r="A1095" s="49" t="s">
        <v>999</v>
      </c>
      <c r="B1095" s="108">
        <v>43227</v>
      </c>
      <c r="C1095" s="89">
        <v>43465</v>
      </c>
      <c r="D1095" s="159">
        <v>90</v>
      </c>
      <c r="E1095" s="123">
        <v>13715.61</v>
      </c>
      <c r="F1095" s="123">
        <v>28089</v>
      </c>
      <c r="G1095" s="123"/>
      <c r="H1095" s="33">
        <f t="shared" si="76"/>
        <v>41804.61</v>
      </c>
      <c r="I1095" s="43">
        <f t="shared" si="77"/>
        <v>41804.61</v>
      </c>
      <c r="J1095" s="102"/>
      <c r="K1095" s="71"/>
    </row>
    <row r="1096" spans="1:11" s="44" customFormat="1" ht="24" outlineLevel="1" x14ac:dyDescent="0.2">
      <c r="A1096" s="49" t="s">
        <v>985</v>
      </c>
      <c r="B1096" s="108">
        <v>43144</v>
      </c>
      <c r="C1096" s="89">
        <v>43465</v>
      </c>
      <c r="D1096" s="159">
        <v>90</v>
      </c>
      <c r="E1096" s="123">
        <v>10946.82</v>
      </c>
      <c r="F1096" s="123">
        <v>31889.67</v>
      </c>
      <c r="G1096" s="123"/>
      <c r="H1096" s="33">
        <f t="shared" si="76"/>
        <v>42836.49</v>
      </c>
      <c r="I1096" s="43">
        <f t="shared" si="77"/>
        <v>42836.49</v>
      </c>
      <c r="J1096" s="102"/>
      <c r="K1096" s="71"/>
    </row>
    <row r="1097" spans="1:11" s="44" customFormat="1" outlineLevel="1" x14ac:dyDescent="0.2">
      <c r="A1097" s="49" t="s">
        <v>1037</v>
      </c>
      <c r="B1097" s="108">
        <v>43138</v>
      </c>
      <c r="C1097" s="89">
        <v>43465</v>
      </c>
      <c r="D1097" s="159">
        <v>50</v>
      </c>
      <c r="E1097" s="123">
        <v>20586.849999999999</v>
      </c>
      <c r="F1097" s="123"/>
      <c r="G1097" s="123"/>
      <c r="H1097" s="33">
        <f t="shared" si="76"/>
        <v>20586.849999999999</v>
      </c>
      <c r="I1097" s="43">
        <f t="shared" si="77"/>
        <v>20586.849999999999</v>
      </c>
      <c r="J1097" s="102"/>
      <c r="K1097" s="71"/>
    </row>
    <row r="1098" spans="1:11" s="44" customFormat="1" ht="24" outlineLevel="1" x14ac:dyDescent="0.2">
      <c r="A1098" s="49" t="s">
        <v>979</v>
      </c>
      <c r="B1098" s="108">
        <v>43194</v>
      </c>
      <c r="C1098" s="89">
        <v>43465</v>
      </c>
      <c r="D1098" s="159">
        <v>60</v>
      </c>
      <c r="E1098" s="123">
        <v>10920.91</v>
      </c>
      <c r="F1098" s="123">
        <v>32940.410000000003</v>
      </c>
      <c r="G1098" s="123"/>
      <c r="H1098" s="33">
        <f t="shared" si="76"/>
        <v>43861.320000000007</v>
      </c>
      <c r="I1098" s="43">
        <f t="shared" si="77"/>
        <v>43861.320000000007</v>
      </c>
      <c r="J1098" s="102"/>
      <c r="K1098" s="71"/>
    </row>
    <row r="1099" spans="1:11" s="44" customFormat="1" ht="24" outlineLevel="1" x14ac:dyDescent="0.2">
      <c r="A1099" s="49" t="s">
        <v>1059</v>
      </c>
      <c r="B1099" s="108">
        <v>43161</v>
      </c>
      <c r="C1099" s="89">
        <v>43465</v>
      </c>
      <c r="D1099" s="159">
        <v>50</v>
      </c>
      <c r="E1099" s="123">
        <v>26690.39</v>
      </c>
      <c r="F1099" s="123"/>
      <c r="G1099" s="123"/>
      <c r="H1099" s="33">
        <f t="shared" si="76"/>
        <v>26690.39</v>
      </c>
      <c r="I1099" s="43">
        <f t="shared" si="77"/>
        <v>26690.39</v>
      </c>
      <c r="J1099" s="102"/>
      <c r="K1099" s="71"/>
    </row>
    <row r="1100" spans="1:11" s="44" customFormat="1" outlineLevel="1" x14ac:dyDescent="0.2">
      <c r="A1100" s="49" t="s">
        <v>993</v>
      </c>
      <c r="B1100" s="108">
        <v>43180</v>
      </c>
      <c r="C1100" s="89">
        <v>43465</v>
      </c>
      <c r="D1100" s="159">
        <v>60</v>
      </c>
      <c r="E1100" s="123">
        <v>10946.82</v>
      </c>
      <c r="F1100" s="123">
        <v>39880.76</v>
      </c>
      <c r="G1100" s="123"/>
      <c r="H1100" s="33">
        <f t="shared" si="76"/>
        <v>50827.58</v>
      </c>
      <c r="I1100" s="43">
        <f t="shared" si="77"/>
        <v>50827.58</v>
      </c>
      <c r="J1100" s="102"/>
      <c r="K1100" s="71"/>
    </row>
    <row r="1101" spans="1:11" s="44" customFormat="1" ht="24" outlineLevel="1" x14ac:dyDescent="0.2">
      <c r="A1101" s="49" t="s">
        <v>1028</v>
      </c>
      <c r="B1101" s="108">
        <v>43124</v>
      </c>
      <c r="C1101" s="89">
        <v>43465</v>
      </c>
      <c r="D1101" s="159">
        <v>50</v>
      </c>
      <c r="E1101" s="123">
        <v>10946.82</v>
      </c>
      <c r="F1101" s="123"/>
      <c r="G1101" s="123"/>
      <c r="H1101" s="33">
        <f t="shared" si="76"/>
        <v>10946.82</v>
      </c>
      <c r="I1101" s="43">
        <f t="shared" si="77"/>
        <v>10946.82</v>
      </c>
      <c r="J1101" s="102"/>
      <c r="K1101" s="71"/>
    </row>
    <row r="1102" spans="1:11" s="44" customFormat="1" ht="24" outlineLevel="1" x14ac:dyDescent="0.2">
      <c r="A1102" s="49" t="s">
        <v>1049</v>
      </c>
      <c r="B1102" s="108">
        <v>43182</v>
      </c>
      <c r="C1102" s="89">
        <v>43465</v>
      </c>
      <c r="D1102" s="159">
        <v>50</v>
      </c>
      <c r="E1102" s="123">
        <v>17344.23</v>
      </c>
      <c r="F1102" s="123"/>
      <c r="G1102" s="123"/>
      <c r="H1102" s="33">
        <f t="shared" si="76"/>
        <v>17344.23</v>
      </c>
      <c r="I1102" s="43">
        <f t="shared" si="77"/>
        <v>17344.23</v>
      </c>
      <c r="J1102" s="102"/>
      <c r="K1102" s="71"/>
    </row>
    <row r="1103" spans="1:11" s="44" customFormat="1" ht="24" outlineLevel="1" x14ac:dyDescent="0.2">
      <c r="A1103" s="49" t="s">
        <v>1052</v>
      </c>
      <c r="B1103" s="108">
        <v>43188</v>
      </c>
      <c r="C1103" s="89">
        <v>43465</v>
      </c>
      <c r="D1103" s="159">
        <v>99</v>
      </c>
      <c r="E1103" s="123">
        <v>17279.95</v>
      </c>
      <c r="F1103" s="123">
        <v>30366.35</v>
      </c>
      <c r="G1103" s="123"/>
      <c r="H1103" s="33">
        <f t="shared" si="76"/>
        <v>47646.3</v>
      </c>
      <c r="I1103" s="43">
        <f t="shared" si="77"/>
        <v>47646.3</v>
      </c>
      <c r="J1103" s="102"/>
      <c r="K1103" s="71"/>
    </row>
    <row r="1104" spans="1:11" s="44" customFormat="1" outlineLevel="1" x14ac:dyDescent="0.2">
      <c r="A1104" s="49" t="s">
        <v>1055</v>
      </c>
      <c r="B1104" s="108">
        <v>43199</v>
      </c>
      <c r="C1104" s="89">
        <v>43465</v>
      </c>
      <c r="D1104" s="159">
        <v>50</v>
      </c>
      <c r="E1104" s="123">
        <v>12542.6</v>
      </c>
      <c r="F1104" s="123"/>
      <c r="G1104" s="123"/>
      <c r="H1104" s="33">
        <f t="shared" si="76"/>
        <v>12542.6</v>
      </c>
      <c r="I1104" s="43">
        <f t="shared" si="77"/>
        <v>12542.6</v>
      </c>
      <c r="J1104" s="102"/>
      <c r="K1104" s="71"/>
    </row>
    <row r="1105" spans="1:11" s="44" customFormat="1" outlineLevel="1" x14ac:dyDescent="0.2">
      <c r="A1105" s="49" t="s">
        <v>1056</v>
      </c>
      <c r="B1105" s="108">
        <v>43196</v>
      </c>
      <c r="C1105" s="89">
        <v>43465</v>
      </c>
      <c r="D1105" s="159">
        <v>50</v>
      </c>
      <c r="E1105" s="123">
        <v>12542.6</v>
      </c>
      <c r="F1105" s="123"/>
      <c r="G1105" s="123"/>
      <c r="H1105" s="33">
        <f t="shared" ref="H1105:H1168" si="78">E1105+F1105+G1105</f>
        <v>12542.6</v>
      </c>
      <c r="I1105" s="43">
        <f t="shared" ref="I1105:I1168" si="79">H1105</f>
        <v>12542.6</v>
      </c>
      <c r="J1105" s="102"/>
      <c r="K1105" s="71"/>
    </row>
    <row r="1106" spans="1:11" s="44" customFormat="1" outlineLevel="1" x14ac:dyDescent="0.2">
      <c r="A1106" s="49" t="s">
        <v>1054</v>
      </c>
      <c r="B1106" s="108">
        <v>43199</v>
      </c>
      <c r="C1106" s="89">
        <v>43465</v>
      </c>
      <c r="D1106" s="159">
        <v>50</v>
      </c>
      <c r="E1106" s="123">
        <v>12542.6</v>
      </c>
      <c r="F1106" s="123"/>
      <c r="G1106" s="123"/>
      <c r="H1106" s="33">
        <f t="shared" si="78"/>
        <v>12542.6</v>
      </c>
      <c r="I1106" s="43">
        <f t="shared" si="79"/>
        <v>12542.6</v>
      </c>
      <c r="J1106" s="102"/>
      <c r="K1106" s="71"/>
    </row>
    <row r="1107" spans="1:11" s="44" customFormat="1" outlineLevel="1" x14ac:dyDescent="0.2">
      <c r="A1107" s="49" t="s">
        <v>986</v>
      </c>
      <c r="B1107" s="108">
        <v>43017</v>
      </c>
      <c r="C1107" s="89">
        <v>43465</v>
      </c>
      <c r="D1107" s="159">
        <v>70</v>
      </c>
      <c r="E1107" s="123">
        <v>7781</v>
      </c>
      <c r="F1107" s="123">
        <v>44102.02</v>
      </c>
      <c r="G1107" s="123"/>
      <c r="H1107" s="33">
        <f t="shared" si="78"/>
        <v>51883.02</v>
      </c>
      <c r="I1107" s="43">
        <f t="shared" si="79"/>
        <v>51883.02</v>
      </c>
      <c r="J1107" s="102"/>
      <c r="K1107" s="71"/>
    </row>
    <row r="1108" spans="1:11" s="44" customFormat="1" ht="24" outlineLevel="1" x14ac:dyDescent="0.2">
      <c r="A1108" s="49" t="s">
        <v>1042</v>
      </c>
      <c r="B1108" s="108">
        <v>42535</v>
      </c>
      <c r="C1108" s="89">
        <v>43465</v>
      </c>
      <c r="D1108" s="159">
        <v>50</v>
      </c>
      <c r="E1108" s="123">
        <v>18482.830000000002</v>
      </c>
      <c r="F1108" s="123"/>
      <c r="G1108" s="123"/>
      <c r="H1108" s="33">
        <f t="shared" si="78"/>
        <v>18482.830000000002</v>
      </c>
      <c r="I1108" s="43">
        <f t="shared" si="79"/>
        <v>18482.830000000002</v>
      </c>
      <c r="J1108" s="102"/>
      <c r="K1108" s="71"/>
    </row>
    <row r="1109" spans="1:11" s="44" customFormat="1" outlineLevel="1" x14ac:dyDescent="0.2">
      <c r="A1109" s="49" t="s">
        <v>984</v>
      </c>
      <c r="B1109" s="108">
        <v>43241</v>
      </c>
      <c r="C1109" s="89">
        <v>43465</v>
      </c>
      <c r="D1109" s="159">
        <v>60</v>
      </c>
      <c r="E1109" s="123">
        <v>8230.17</v>
      </c>
      <c r="F1109" s="123">
        <v>27958.3</v>
      </c>
      <c r="G1109" s="123"/>
      <c r="H1109" s="33">
        <f t="shared" si="78"/>
        <v>36188.47</v>
      </c>
      <c r="I1109" s="43">
        <f t="shared" si="79"/>
        <v>36188.47</v>
      </c>
      <c r="J1109" s="102"/>
      <c r="K1109" s="71"/>
    </row>
    <row r="1110" spans="1:11" s="44" customFormat="1" ht="24" outlineLevel="1" x14ac:dyDescent="0.2">
      <c r="A1110" s="49" t="s">
        <v>1031</v>
      </c>
      <c r="B1110" s="108">
        <v>43281</v>
      </c>
      <c r="C1110" s="89">
        <v>43465</v>
      </c>
      <c r="D1110" s="159">
        <v>30</v>
      </c>
      <c r="E1110" s="123">
        <v>8230.17</v>
      </c>
      <c r="F1110" s="123"/>
      <c r="G1110" s="123"/>
      <c r="H1110" s="33">
        <f t="shared" si="78"/>
        <v>8230.17</v>
      </c>
      <c r="I1110" s="43">
        <f t="shared" si="79"/>
        <v>8230.17</v>
      </c>
      <c r="J1110" s="102"/>
      <c r="K1110" s="71"/>
    </row>
    <row r="1111" spans="1:11" s="44" customFormat="1" ht="24" outlineLevel="1" x14ac:dyDescent="0.2">
      <c r="A1111" s="49" t="s">
        <v>1034</v>
      </c>
      <c r="B1111" s="108">
        <v>43236</v>
      </c>
      <c r="C1111" s="89">
        <v>43465</v>
      </c>
      <c r="D1111" s="159">
        <v>50</v>
      </c>
      <c r="E1111" s="123">
        <v>9056.4699999999993</v>
      </c>
      <c r="F1111" s="123">
        <v>38655.870000000003</v>
      </c>
      <c r="G1111" s="123"/>
      <c r="H1111" s="33">
        <f t="shared" si="78"/>
        <v>47712.340000000004</v>
      </c>
      <c r="I1111" s="43">
        <f t="shared" si="79"/>
        <v>47712.340000000004</v>
      </c>
      <c r="J1111" s="102"/>
      <c r="K1111" s="71"/>
    </row>
    <row r="1112" spans="1:11" s="44" customFormat="1" ht="24" outlineLevel="1" x14ac:dyDescent="0.2">
      <c r="A1112" s="49" t="s">
        <v>1017</v>
      </c>
      <c r="B1112" s="108">
        <v>43194</v>
      </c>
      <c r="C1112" s="89">
        <v>43465</v>
      </c>
      <c r="D1112" s="159">
        <v>50</v>
      </c>
      <c r="E1112" s="123">
        <v>11579.82</v>
      </c>
      <c r="F1112" s="123">
        <v>31636.560000000001</v>
      </c>
      <c r="G1112" s="123"/>
      <c r="H1112" s="33">
        <f t="shared" si="78"/>
        <v>43216.380000000005</v>
      </c>
      <c r="I1112" s="43">
        <f t="shared" si="79"/>
        <v>43216.380000000005</v>
      </c>
      <c r="J1112" s="102"/>
      <c r="K1112" s="71"/>
    </row>
    <row r="1113" spans="1:11" s="44" customFormat="1" outlineLevel="1" x14ac:dyDescent="0.2">
      <c r="A1113" s="49" t="s">
        <v>1032</v>
      </c>
      <c r="B1113" s="108">
        <v>43218</v>
      </c>
      <c r="C1113" s="89">
        <v>43465</v>
      </c>
      <c r="D1113" s="159">
        <v>60</v>
      </c>
      <c r="E1113" s="123">
        <v>11528.09</v>
      </c>
      <c r="F1113" s="123">
        <v>68248</v>
      </c>
      <c r="G1113" s="123"/>
      <c r="H1113" s="33">
        <f t="shared" si="78"/>
        <v>79776.09</v>
      </c>
      <c r="I1113" s="43">
        <f t="shared" si="79"/>
        <v>79776.09</v>
      </c>
      <c r="J1113" s="102"/>
      <c r="K1113" s="71"/>
    </row>
    <row r="1114" spans="1:11" s="44" customFormat="1" outlineLevel="1" x14ac:dyDescent="0.2">
      <c r="A1114" s="49" t="s">
        <v>1046</v>
      </c>
      <c r="B1114" s="108">
        <v>42892</v>
      </c>
      <c r="C1114" s="89">
        <v>43465</v>
      </c>
      <c r="D1114" s="159">
        <v>50</v>
      </c>
      <c r="E1114" s="123">
        <v>13532.71</v>
      </c>
      <c r="F1114" s="123"/>
      <c r="G1114" s="123"/>
      <c r="H1114" s="33">
        <f t="shared" si="78"/>
        <v>13532.71</v>
      </c>
      <c r="I1114" s="43">
        <f t="shared" si="79"/>
        <v>13532.71</v>
      </c>
      <c r="J1114" s="102"/>
      <c r="K1114" s="71"/>
    </row>
    <row r="1115" spans="1:11" s="44" customFormat="1" ht="24" outlineLevel="1" x14ac:dyDescent="0.2">
      <c r="A1115" s="49" t="s">
        <v>1004</v>
      </c>
      <c r="B1115" s="108">
        <v>43186</v>
      </c>
      <c r="C1115" s="89">
        <v>43465</v>
      </c>
      <c r="D1115" s="159">
        <v>30</v>
      </c>
      <c r="E1115" s="123">
        <v>8833.33</v>
      </c>
      <c r="F1115" s="123"/>
      <c r="G1115" s="123"/>
      <c r="H1115" s="33">
        <f t="shared" si="78"/>
        <v>8833.33</v>
      </c>
      <c r="I1115" s="43">
        <f t="shared" si="79"/>
        <v>8833.33</v>
      </c>
      <c r="J1115" s="102"/>
      <c r="K1115" s="71"/>
    </row>
    <row r="1116" spans="1:11" s="44" customFormat="1" ht="24" outlineLevel="1" x14ac:dyDescent="0.2">
      <c r="A1116" s="49" t="s">
        <v>1013</v>
      </c>
      <c r="B1116" s="108">
        <v>43281</v>
      </c>
      <c r="C1116" s="89">
        <v>43465</v>
      </c>
      <c r="D1116" s="159">
        <v>50</v>
      </c>
      <c r="E1116" s="123">
        <v>8907.67</v>
      </c>
      <c r="F1116" s="123">
        <v>25365.62</v>
      </c>
      <c r="G1116" s="123"/>
      <c r="H1116" s="33">
        <f t="shared" si="78"/>
        <v>34273.29</v>
      </c>
      <c r="I1116" s="43">
        <f t="shared" si="79"/>
        <v>34273.29</v>
      </c>
      <c r="J1116" s="102"/>
      <c r="K1116" s="71"/>
    </row>
    <row r="1117" spans="1:11" s="44" customFormat="1" ht="24" outlineLevel="1" x14ac:dyDescent="0.2">
      <c r="A1117" s="49" t="s">
        <v>1012</v>
      </c>
      <c r="B1117" s="108">
        <v>43200</v>
      </c>
      <c r="C1117" s="89">
        <v>43465</v>
      </c>
      <c r="D1117" s="159">
        <v>90</v>
      </c>
      <c r="E1117" s="123">
        <v>11676.46</v>
      </c>
      <c r="F1117" s="123">
        <v>25365.59</v>
      </c>
      <c r="G1117" s="123"/>
      <c r="H1117" s="33">
        <f t="shared" si="78"/>
        <v>37042.050000000003</v>
      </c>
      <c r="I1117" s="43">
        <f t="shared" si="79"/>
        <v>37042.050000000003</v>
      </c>
      <c r="J1117" s="102"/>
      <c r="K1117" s="71"/>
    </row>
    <row r="1118" spans="1:11" s="44" customFormat="1" ht="24" outlineLevel="1" x14ac:dyDescent="0.2">
      <c r="A1118" s="49" t="s">
        <v>1427</v>
      </c>
      <c r="B1118" s="108">
        <v>43259</v>
      </c>
      <c r="C1118" s="89">
        <v>43465</v>
      </c>
      <c r="D1118" s="159">
        <v>30</v>
      </c>
      <c r="E1118" s="123">
        <v>8907.67</v>
      </c>
      <c r="F1118" s="123"/>
      <c r="G1118" s="123"/>
      <c r="H1118" s="33">
        <f t="shared" si="78"/>
        <v>8907.67</v>
      </c>
      <c r="I1118" s="43">
        <f t="shared" si="79"/>
        <v>8907.67</v>
      </c>
      <c r="J1118" s="102"/>
      <c r="K1118" s="71"/>
    </row>
    <row r="1119" spans="1:11" s="44" customFormat="1" ht="24" outlineLevel="1" x14ac:dyDescent="0.2">
      <c r="A1119" s="49" t="s">
        <v>975</v>
      </c>
      <c r="B1119" s="108">
        <v>43236</v>
      </c>
      <c r="C1119" s="89">
        <v>43465</v>
      </c>
      <c r="D1119" s="159">
        <v>30</v>
      </c>
      <c r="E1119" s="123">
        <v>8791.66</v>
      </c>
      <c r="F1119" s="123"/>
      <c r="G1119" s="123"/>
      <c r="H1119" s="33">
        <f t="shared" si="78"/>
        <v>8791.66</v>
      </c>
      <c r="I1119" s="43">
        <f t="shared" si="79"/>
        <v>8791.66</v>
      </c>
      <c r="J1119" s="102"/>
      <c r="K1119" s="71"/>
    </row>
    <row r="1120" spans="1:11" s="44" customFormat="1" ht="24" outlineLevel="1" x14ac:dyDescent="0.2">
      <c r="A1120" s="49" t="s">
        <v>991</v>
      </c>
      <c r="B1120" s="108">
        <v>43202</v>
      </c>
      <c r="C1120" s="89">
        <v>43465</v>
      </c>
      <c r="D1120" s="159">
        <v>50</v>
      </c>
      <c r="E1120" s="123">
        <v>11653.7</v>
      </c>
      <c r="F1120" s="123">
        <v>29857.22</v>
      </c>
      <c r="G1120" s="123"/>
      <c r="H1120" s="33">
        <f t="shared" si="78"/>
        <v>41510.92</v>
      </c>
      <c r="I1120" s="43">
        <f t="shared" si="79"/>
        <v>41510.92</v>
      </c>
      <c r="J1120" s="102"/>
      <c r="K1120" s="71"/>
    </row>
    <row r="1121" spans="1:11" s="44" customFormat="1" outlineLevel="1" x14ac:dyDescent="0.2">
      <c r="A1121" s="49" t="s">
        <v>997</v>
      </c>
      <c r="B1121" s="108">
        <v>43231</v>
      </c>
      <c r="C1121" s="89">
        <v>43465</v>
      </c>
      <c r="D1121" s="159">
        <v>50</v>
      </c>
      <c r="E1121" s="123">
        <v>8936.64</v>
      </c>
      <c r="F1121" s="123">
        <v>39480.949999999997</v>
      </c>
      <c r="G1121" s="123"/>
      <c r="H1121" s="33">
        <f t="shared" si="78"/>
        <v>48417.59</v>
      </c>
      <c r="I1121" s="43">
        <f t="shared" si="79"/>
        <v>48417.59</v>
      </c>
      <c r="J1121" s="102"/>
      <c r="K1121" s="71"/>
    </row>
    <row r="1122" spans="1:11" s="44" customFormat="1" outlineLevel="1" x14ac:dyDescent="0.2">
      <c r="A1122" s="49" t="s">
        <v>1428</v>
      </c>
      <c r="B1122" s="108">
        <v>43195</v>
      </c>
      <c r="C1122" s="89">
        <v>43465</v>
      </c>
      <c r="D1122" s="159">
        <v>50</v>
      </c>
      <c r="E1122" s="123">
        <v>11653.7</v>
      </c>
      <c r="F1122" s="123">
        <v>33113.18</v>
      </c>
      <c r="G1122" s="123"/>
      <c r="H1122" s="33">
        <f t="shared" si="78"/>
        <v>44766.880000000005</v>
      </c>
      <c r="I1122" s="43">
        <f t="shared" si="79"/>
        <v>44766.880000000005</v>
      </c>
      <c r="J1122" s="102"/>
      <c r="K1122" s="71"/>
    </row>
    <row r="1123" spans="1:11" s="44" customFormat="1" outlineLevel="1" x14ac:dyDescent="0.2">
      <c r="A1123" s="49" t="s">
        <v>1429</v>
      </c>
      <c r="B1123" s="108">
        <v>43158</v>
      </c>
      <c r="C1123" s="89">
        <v>43465</v>
      </c>
      <c r="D1123" s="159">
        <v>50</v>
      </c>
      <c r="E1123" s="123">
        <v>8936.64</v>
      </c>
      <c r="F1123" s="123">
        <v>34984.25</v>
      </c>
      <c r="G1123" s="123"/>
      <c r="H1123" s="33">
        <f t="shared" si="78"/>
        <v>43920.89</v>
      </c>
      <c r="I1123" s="43">
        <f t="shared" si="79"/>
        <v>43920.89</v>
      </c>
      <c r="J1123" s="102"/>
      <c r="K1123" s="71"/>
    </row>
    <row r="1124" spans="1:11" s="44" customFormat="1" ht="24" outlineLevel="1" x14ac:dyDescent="0.2">
      <c r="A1124" s="49" t="s">
        <v>1024</v>
      </c>
      <c r="B1124" s="108">
        <v>43199</v>
      </c>
      <c r="C1124" s="89">
        <v>43465</v>
      </c>
      <c r="D1124" s="159">
        <v>30</v>
      </c>
      <c r="E1124" s="123">
        <v>8936.64</v>
      </c>
      <c r="F1124" s="123"/>
      <c r="G1124" s="123"/>
      <c r="H1124" s="33">
        <f t="shared" si="78"/>
        <v>8936.64</v>
      </c>
      <c r="I1124" s="43">
        <f t="shared" si="79"/>
        <v>8936.64</v>
      </c>
      <c r="J1124" s="102"/>
      <c r="K1124" s="71"/>
    </row>
    <row r="1125" spans="1:11" s="44" customFormat="1" outlineLevel="1" x14ac:dyDescent="0.2">
      <c r="A1125" s="49" t="s">
        <v>1430</v>
      </c>
      <c r="B1125" s="108">
        <v>43207</v>
      </c>
      <c r="C1125" s="89">
        <v>43465</v>
      </c>
      <c r="D1125" s="159">
        <v>30</v>
      </c>
      <c r="E1125" s="123">
        <v>8936.64</v>
      </c>
      <c r="F1125" s="123"/>
      <c r="G1125" s="123"/>
      <c r="H1125" s="33">
        <f t="shared" si="78"/>
        <v>8936.64</v>
      </c>
      <c r="I1125" s="43">
        <f t="shared" si="79"/>
        <v>8936.64</v>
      </c>
      <c r="J1125" s="102"/>
      <c r="K1125" s="71"/>
    </row>
    <row r="1126" spans="1:11" s="44" customFormat="1" ht="24" outlineLevel="1" x14ac:dyDescent="0.2">
      <c r="A1126" s="49" t="s">
        <v>1431</v>
      </c>
      <c r="B1126" s="108">
        <v>43196</v>
      </c>
      <c r="C1126" s="89">
        <v>43465</v>
      </c>
      <c r="D1126" s="159">
        <v>50</v>
      </c>
      <c r="E1126" s="123">
        <v>11653.7</v>
      </c>
      <c r="F1126" s="123">
        <v>36503.269999999997</v>
      </c>
      <c r="G1126" s="123"/>
      <c r="H1126" s="33">
        <f t="shared" si="78"/>
        <v>48156.97</v>
      </c>
      <c r="I1126" s="43">
        <f t="shared" si="79"/>
        <v>48156.97</v>
      </c>
      <c r="J1126" s="102"/>
      <c r="K1126" s="71"/>
    </row>
    <row r="1127" spans="1:11" s="44" customFormat="1" outlineLevel="1" x14ac:dyDescent="0.2">
      <c r="A1127" s="49" t="s">
        <v>1002</v>
      </c>
      <c r="B1127" s="108">
        <v>43189</v>
      </c>
      <c r="C1127" s="89">
        <v>43465</v>
      </c>
      <c r="D1127" s="159">
        <v>60</v>
      </c>
      <c r="E1127" s="123">
        <v>8936.64</v>
      </c>
      <c r="F1127" s="123">
        <v>35209.730000000003</v>
      </c>
      <c r="G1127" s="123"/>
      <c r="H1127" s="33">
        <f t="shared" si="78"/>
        <v>44146.37</v>
      </c>
      <c r="I1127" s="43">
        <f t="shared" si="79"/>
        <v>44146.37</v>
      </c>
      <c r="J1127" s="102"/>
      <c r="K1127" s="71"/>
    </row>
    <row r="1128" spans="1:11" s="44" customFormat="1" outlineLevel="1" x14ac:dyDescent="0.2">
      <c r="A1128" s="49" t="s">
        <v>1000</v>
      </c>
      <c r="B1128" s="108">
        <v>43180</v>
      </c>
      <c r="C1128" s="89">
        <v>43465</v>
      </c>
      <c r="D1128" s="159">
        <v>30</v>
      </c>
      <c r="E1128" s="123">
        <v>11723.35</v>
      </c>
      <c r="F1128" s="123">
        <v>9206.59</v>
      </c>
      <c r="G1128" s="123"/>
      <c r="H1128" s="33">
        <f t="shared" si="78"/>
        <v>20929.940000000002</v>
      </c>
      <c r="I1128" s="43">
        <f t="shared" si="79"/>
        <v>20929.940000000002</v>
      </c>
      <c r="J1128" s="102"/>
      <c r="K1128" s="71"/>
    </row>
    <row r="1129" spans="1:11" s="44" customFormat="1" outlineLevel="1" x14ac:dyDescent="0.2">
      <c r="A1129" s="49" t="s">
        <v>1060</v>
      </c>
      <c r="B1129" s="108">
        <v>43172</v>
      </c>
      <c r="C1129" s="89">
        <v>43465</v>
      </c>
      <c r="D1129" s="159">
        <v>50</v>
      </c>
      <c r="E1129" s="123">
        <v>17391.12</v>
      </c>
      <c r="F1129" s="123"/>
      <c r="G1129" s="123"/>
      <c r="H1129" s="33">
        <f t="shared" si="78"/>
        <v>17391.12</v>
      </c>
      <c r="I1129" s="43">
        <f t="shared" si="79"/>
        <v>17391.12</v>
      </c>
      <c r="J1129" s="102"/>
      <c r="K1129" s="71"/>
    </row>
    <row r="1130" spans="1:11" s="44" customFormat="1" outlineLevel="1" x14ac:dyDescent="0.2">
      <c r="A1130" s="49" t="s">
        <v>1048</v>
      </c>
      <c r="B1130" s="108">
        <v>42891</v>
      </c>
      <c r="C1130" s="89">
        <v>43465</v>
      </c>
      <c r="D1130" s="159">
        <v>30</v>
      </c>
      <c r="E1130" s="123">
        <v>4926.05</v>
      </c>
      <c r="F1130" s="123"/>
      <c r="G1130" s="123"/>
      <c r="H1130" s="33">
        <f t="shared" si="78"/>
        <v>4926.05</v>
      </c>
      <c r="I1130" s="43">
        <f t="shared" si="79"/>
        <v>4926.05</v>
      </c>
      <c r="J1130" s="102"/>
      <c r="K1130" s="71"/>
    </row>
    <row r="1131" spans="1:11" s="44" customFormat="1" outlineLevel="1" x14ac:dyDescent="0.2">
      <c r="A1131" s="49" t="s">
        <v>1027</v>
      </c>
      <c r="B1131" s="108">
        <v>43238</v>
      </c>
      <c r="C1131" s="89">
        <v>43465</v>
      </c>
      <c r="D1131" s="159">
        <v>50</v>
      </c>
      <c r="E1131" s="123">
        <v>26365.49</v>
      </c>
      <c r="F1131" s="123"/>
      <c r="G1131" s="123"/>
      <c r="H1131" s="33">
        <f t="shared" si="78"/>
        <v>26365.49</v>
      </c>
      <c r="I1131" s="43">
        <f t="shared" si="79"/>
        <v>26365.49</v>
      </c>
      <c r="J1131" s="121"/>
      <c r="K1131" s="71"/>
    </row>
    <row r="1132" spans="1:11" s="44" customFormat="1" ht="24" outlineLevel="1" x14ac:dyDescent="0.2">
      <c r="A1132" s="49" t="s">
        <v>1015</v>
      </c>
      <c r="B1132" s="108">
        <v>43281</v>
      </c>
      <c r="C1132" s="89">
        <v>43465</v>
      </c>
      <c r="D1132" s="159">
        <v>60</v>
      </c>
      <c r="E1132" s="123">
        <v>11676.46</v>
      </c>
      <c r="F1132" s="123">
        <v>26302.3</v>
      </c>
      <c r="G1132" s="123"/>
      <c r="H1132" s="33">
        <f t="shared" si="78"/>
        <v>37978.759999999995</v>
      </c>
      <c r="I1132" s="43">
        <f t="shared" si="79"/>
        <v>37978.759999999995</v>
      </c>
      <c r="J1132" s="102"/>
      <c r="K1132" s="71"/>
    </row>
    <row r="1133" spans="1:11" s="44" customFormat="1" ht="24" outlineLevel="1" x14ac:dyDescent="0.2">
      <c r="A1133" s="49" t="s">
        <v>1019</v>
      </c>
      <c r="B1133" s="108">
        <v>43202</v>
      </c>
      <c r="C1133" s="89">
        <v>43465</v>
      </c>
      <c r="D1133" s="159">
        <v>60</v>
      </c>
      <c r="E1133" s="123">
        <v>2717.06</v>
      </c>
      <c r="F1133" s="123">
        <v>30498.03</v>
      </c>
      <c r="G1133" s="123"/>
      <c r="H1133" s="33">
        <f t="shared" si="78"/>
        <v>33215.089999999997</v>
      </c>
      <c r="I1133" s="43">
        <f t="shared" si="79"/>
        <v>33215.089999999997</v>
      </c>
      <c r="J1133" s="102"/>
      <c r="K1133" s="71"/>
    </row>
    <row r="1134" spans="1:11" s="44" customFormat="1" outlineLevel="1" x14ac:dyDescent="0.2">
      <c r="A1134" s="49" t="s">
        <v>1026</v>
      </c>
      <c r="B1134" s="108">
        <v>43201</v>
      </c>
      <c r="C1134" s="89">
        <v>43465</v>
      </c>
      <c r="D1134" s="159">
        <v>60</v>
      </c>
      <c r="E1134" s="123">
        <v>11176.95</v>
      </c>
      <c r="F1134" s="123">
        <v>30105.65</v>
      </c>
      <c r="G1134" s="123"/>
      <c r="H1134" s="33">
        <f t="shared" si="78"/>
        <v>41282.600000000006</v>
      </c>
      <c r="I1134" s="43">
        <f t="shared" si="79"/>
        <v>41282.600000000006</v>
      </c>
      <c r="J1134" s="102"/>
      <c r="K1134" s="71"/>
    </row>
    <row r="1135" spans="1:11" s="44" customFormat="1" outlineLevel="1" x14ac:dyDescent="0.2">
      <c r="A1135" s="49" t="s">
        <v>1011</v>
      </c>
      <c r="B1135" s="108"/>
      <c r="C1135" s="89">
        <v>43465</v>
      </c>
      <c r="D1135" s="159">
        <v>50</v>
      </c>
      <c r="E1135" s="123">
        <v>16583.09</v>
      </c>
      <c r="F1135" s="123"/>
      <c r="G1135" s="123"/>
      <c r="H1135" s="33">
        <f t="shared" si="78"/>
        <v>16583.09</v>
      </c>
      <c r="I1135" s="43">
        <f t="shared" si="79"/>
        <v>16583.09</v>
      </c>
      <c r="J1135" s="102"/>
      <c r="K1135" s="71"/>
    </row>
    <row r="1136" spans="1:11" s="44" customFormat="1" outlineLevel="1" x14ac:dyDescent="0.2">
      <c r="A1136" s="49" t="s">
        <v>1050</v>
      </c>
      <c r="B1136" s="108">
        <v>43158</v>
      </c>
      <c r="C1136" s="89">
        <v>43465</v>
      </c>
      <c r="D1136" s="159">
        <v>50</v>
      </c>
      <c r="E1136" s="123">
        <v>16942.349999999999</v>
      </c>
      <c r="F1136" s="123"/>
      <c r="G1136" s="123"/>
      <c r="H1136" s="33">
        <f t="shared" si="78"/>
        <v>16942.349999999999</v>
      </c>
      <c r="I1136" s="43">
        <f t="shared" si="79"/>
        <v>16942.349999999999</v>
      </c>
      <c r="J1136" s="102"/>
      <c r="K1136" s="71"/>
    </row>
    <row r="1137" spans="1:11" s="44" customFormat="1" outlineLevel="1" x14ac:dyDescent="0.2">
      <c r="A1137" s="49" t="s">
        <v>1030</v>
      </c>
      <c r="B1137" s="108">
        <v>43052</v>
      </c>
      <c r="C1137" s="89">
        <v>43465</v>
      </c>
      <c r="D1137" s="159">
        <v>30</v>
      </c>
      <c r="E1137" s="123">
        <v>2768.79</v>
      </c>
      <c r="F1137" s="123"/>
      <c r="G1137" s="123"/>
      <c r="H1137" s="33">
        <f t="shared" si="78"/>
        <v>2768.79</v>
      </c>
      <c r="I1137" s="43">
        <f t="shared" si="79"/>
        <v>2768.79</v>
      </c>
      <c r="J1137" s="102"/>
      <c r="K1137" s="71"/>
    </row>
    <row r="1138" spans="1:11" s="44" customFormat="1" outlineLevel="1" x14ac:dyDescent="0.2">
      <c r="A1138" s="49" t="s">
        <v>1007</v>
      </c>
      <c r="B1138" s="108">
        <v>43165</v>
      </c>
      <c r="C1138" s="89">
        <v>43465</v>
      </c>
      <c r="D1138" s="159">
        <v>50</v>
      </c>
      <c r="E1138" s="123">
        <v>24037.63</v>
      </c>
      <c r="F1138" s="123"/>
      <c r="G1138" s="123"/>
      <c r="H1138" s="33">
        <f t="shared" si="78"/>
        <v>24037.63</v>
      </c>
      <c r="I1138" s="43">
        <f t="shared" si="79"/>
        <v>24037.63</v>
      </c>
      <c r="J1138" s="102"/>
      <c r="K1138" s="71"/>
    </row>
    <row r="1139" spans="1:11" s="44" customFormat="1" outlineLevel="1" x14ac:dyDescent="0.2">
      <c r="A1139" s="49" t="s">
        <v>1058</v>
      </c>
      <c r="B1139" s="108">
        <v>43143</v>
      </c>
      <c r="C1139" s="89">
        <v>43465</v>
      </c>
      <c r="D1139" s="159">
        <v>30</v>
      </c>
      <c r="E1139" s="123">
        <v>5537.5</v>
      </c>
      <c r="F1139" s="123"/>
      <c r="G1139" s="123"/>
      <c r="H1139" s="33">
        <f t="shared" si="78"/>
        <v>5537.5</v>
      </c>
      <c r="I1139" s="43">
        <f t="shared" si="79"/>
        <v>5537.5</v>
      </c>
      <c r="J1139" s="102"/>
      <c r="K1139" s="71"/>
    </row>
    <row r="1140" spans="1:11" s="44" customFormat="1" outlineLevel="1" x14ac:dyDescent="0.2">
      <c r="A1140" s="49" t="s">
        <v>1047</v>
      </c>
      <c r="B1140" s="108">
        <v>43017</v>
      </c>
      <c r="C1140" s="89">
        <v>43465</v>
      </c>
      <c r="D1140" s="159">
        <v>50</v>
      </c>
      <c r="E1140" s="123">
        <v>19763.259999999998</v>
      </c>
      <c r="F1140" s="123"/>
      <c r="G1140" s="123"/>
      <c r="H1140" s="33">
        <f t="shared" si="78"/>
        <v>19763.259999999998</v>
      </c>
      <c r="I1140" s="43">
        <f t="shared" si="79"/>
        <v>19763.259999999998</v>
      </c>
      <c r="J1140" s="102"/>
      <c r="K1140" s="71"/>
    </row>
    <row r="1141" spans="1:11" s="44" customFormat="1" ht="24" outlineLevel="1" x14ac:dyDescent="0.2">
      <c r="A1141" s="49" t="s">
        <v>977</v>
      </c>
      <c r="B1141" s="108">
        <v>43248</v>
      </c>
      <c r="C1141" s="89">
        <v>43465</v>
      </c>
      <c r="D1141" s="159">
        <v>30</v>
      </c>
      <c r="E1141" s="123">
        <v>11602.12</v>
      </c>
      <c r="F1141" s="123"/>
      <c r="G1141" s="123"/>
      <c r="H1141" s="33">
        <f t="shared" si="78"/>
        <v>11602.12</v>
      </c>
      <c r="I1141" s="43">
        <f t="shared" si="79"/>
        <v>11602.12</v>
      </c>
      <c r="J1141" s="102"/>
      <c r="K1141" s="71"/>
    </row>
    <row r="1142" spans="1:11" s="44" customFormat="1" ht="24" outlineLevel="1" x14ac:dyDescent="0.2">
      <c r="A1142" s="49" t="s">
        <v>1029</v>
      </c>
      <c r="B1142" s="108">
        <v>43243</v>
      </c>
      <c r="C1142" s="89">
        <v>43465</v>
      </c>
      <c r="D1142" s="159">
        <v>50</v>
      </c>
      <c r="E1142" s="123">
        <v>13814.32</v>
      </c>
      <c r="F1142" s="123"/>
      <c r="G1142" s="123"/>
      <c r="H1142" s="33">
        <f t="shared" si="78"/>
        <v>13814.32</v>
      </c>
      <c r="I1142" s="43">
        <f t="shared" si="79"/>
        <v>13814.32</v>
      </c>
      <c r="J1142" s="102"/>
      <c r="K1142" s="71"/>
    </row>
    <row r="1143" spans="1:11" s="44" customFormat="1" ht="24" outlineLevel="1" x14ac:dyDescent="0.2">
      <c r="A1143" s="49" t="s">
        <v>1018</v>
      </c>
      <c r="B1143" s="108">
        <v>43192</v>
      </c>
      <c r="C1143" s="89">
        <v>43465</v>
      </c>
      <c r="D1143" s="159">
        <v>90</v>
      </c>
      <c r="E1143" s="123">
        <v>17896.52</v>
      </c>
      <c r="F1143" s="123">
        <v>60695.839999999997</v>
      </c>
      <c r="G1143" s="123"/>
      <c r="H1143" s="33">
        <f t="shared" si="78"/>
        <v>78592.36</v>
      </c>
      <c r="I1143" s="43">
        <f t="shared" si="79"/>
        <v>78592.36</v>
      </c>
      <c r="J1143" s="102"/>
      <c r="K1143" s="71"/>
    </row>
    <row r="1144" spans="1:11" s="44" customFormat="1" ht="24" outlineLevel="1" x14ac:dyDescent="0.2">
      <c r="A1144" s="49" t="s">
        <v>1039</v>
      </c>
      <c r="B1144" s="108">
        <v>43195</v>
      </c>
      <c r="C1144" s="89">
        <v>43465</v>
      </c>
      <c r="D1144" s="159">
        <v>60</v>
      </c>
      <c r="E1144" s="123">
        <v>15164.52</v>
      </c>
      <c r="F1144" s="123">
        <v>29193.73</v>
      </c>
      <c r="G1144" s="123"/>
      <c r="H1144" s="33">
        <f t="shared" si="78"/>
        <v>44358.25</v>
      </c>
      <c r="I1144" s="43">
        <f t="shared" si="79"/>
        <v>44358.25</v>
      </c>
      <c r="J1144" s="102"/>
      <c r="K1144" s="71"/>
    </row>
    <row r="1145" spans="1:11" s="44" customFormat="1" outlineLevel="1" x14ac:dyDescent="0.2">
      <c r="A1145" s="49" t="s">
        <v>1432</v>
      </c>
      <c r="B1145" s="108">
        <v>43270</v>
      </c>
      <c r="C1145" s="89">
        <v>43465</v>
      </c>
      <c r="D1145" s="159">
        <v>99</v>
      </c>
      <c r="E1145" s="123">
        <v>8094.82</v>
      </c>
      <c r="F1145" s="123">
        <v>34830.839999999997</v>
      </c>
      <c r="G1145" s="123"/>
      <c r="H1145" s="33">
        <f t="shared" si="78"/>
        <v>42925.659999999996</v>
      </c>
      <c r="I1145" s="43">
        <f t="shared" si="79"/>
        <v>42925.659999999996</v>
      </c>
      <c r="J1145" s="102"/>
      <c r="K1145" s="71"/>
    </row>
    <row r="1146" spans="1:11" s="44" customFormat="1" ht="24" outlineLevel="1" x14ac:dyDescent="0.2">
      <c r="A1146" s="49" t="s">
        <v>1433</v>
      </c>
      <c r="B1146" s="108">
        <v>43146</v>
      </c>
      <c r="C1146" s="89">
        <v>43465</v>
      </c>
      <c r="D1146" s="159">
        <v>60</v>
      </c>
      <c r="E1146" s="123">
        <v>11223.32</v>
      </c>
      <c r="F1146" s="123">
        <v>32479.58</v>
      </c>
      <c r="G1146" s="123"/>
      <c r="H1146" s="33">
        <f t="shared" si="78"/>
        <v>43702.9</v>
      </c>
      <c r="I1146" s="43">
        <f t="shared" si="79"/>
        <v>43702.9</v>
      </c>
      <c r="J1146" s="102"/>
      <c r="K1146" s="71"/>
    </row>
    <row r="1147" spans="1:11" s="44" customFormat="1" ht="24" outlineLevel="1" x14ac:dyDescent="0.2">
      <c r="A1147" s="49" t="s">
        <v>1434</v>
      </c>
      <c r="B1147" s="108">
        <v>43174</v>
      </c>
      <c r="C1147" s="89">
        <v>43465</v>
      </c>
      <c r="D1147" s="159">
        <v>40</v>
      </c>
      <c r="E1147" s="123">
        <v>14225.76</v>
      </c>
      <c r="F1147" s="123"/>
      <c r="G1147" s="123"/>
      <c r="H1147" s="33">
        <f t="shared" si="78"/>
        <v>14225.76</v>
      </c>
      <c r="I1147" s="43">
        <f t="shared" si="79"/>
        <v>14225.76</v>
      </c>
      <c r="J1147" s="102"/>
      <c r="K1147" s="71"/>
    </row>
    <row r="1148" spans="1:11" s="44" customFormat="1" ht="24" outlineLevel="1" x14ac:dyDescent="0.2">
      <c r="A1148" s="49" t="s">
        <v>1435</v>
      </c>
      <c r="B1148" s="108">
        <v>43266</v>
      </c>
      <c r="C1148" s="89">
        <v>43465</v>
      </c>
      <c r="D1148" s="159">
        <v>99</v>
      </c>
      <c r="E1148" s="123">
        <v>11223.32</v>
      </c>
      <c r="F1148" s="123">
        <v>29978.57</v>
      </c>
      <c r="G1148" s="123"/>
      <c r="H1148" s="33">
        <f t="shared" si="78"/>
        <v>41201.89</v>
      </c>
      <c r="I1148" s="43">
        <f t="shared" si="79"/>
        <v>41201.89</v>
      </c>
      <c r="J1148" s="102"/>
      <c r="K1148" s="71"/>
    </row>
    <row r="1149" spans="1:11" s="44" customFormat="1" outlineLevel="1" x14ac:dyDescent="0.2">
      <c r="A1149" s="49" t="s">
        <v>1436</v>
      </c>
      <c r="B1149" s="108">
        <v>43256</v>
      </c>
      <c r="C1149" s="89">
        <v>43465</v>
      </c>
      <c r="D1149" s="159">
        <v>50</v>
      </c>
      <c r="E1149" s="123">
        <v>11223.32</v>
      </c>
      <c r="F1149" s="123"/>
      <c r="G1149" s="123"/>
      <c r="H1149" s="33">
        <f t="shared" si="78"/>
        <v>11223.32</v>
      </c>
      <c r="I1149" s="43">
        <f t="shared" si="79"/>
        <v>11223.32</v>
      </c>
      <c r="J1149" s="102"/>
      <c r="K1149" s="71"/>
    </row>
    <row r="1150" spans="1:11" s="44" customFormat="1" ht="24" outlineLevel="1" x14ac:dyDescent="0.2">
      <c r="A1150" s="49" t="s">
        <v>1437</v>
      </c>
      <c r="B1150" s="108">
        <v>43214</v>
      </c>
      <c r="C1150" s="89">
        <v>43465</v>
      </c>
      <c r="D1150" s="159">
        <v>50</v>
      </c>
      <c r="E1150" s="123">
        <v>8484.41</v>
      </c>
      <c r="F1150" s="123"/>
      <c r="G1150" s="123"/>
      <c r="H1150" s="33">
        <f t="shared" si="78"/>
        <v>8484.41</v>
      </c>
      <c r="I1150" s="43">
        <f t="shared" si="79"/>
        <v>8484.41</v>
      </c>
      <c r="J1150" s="102"/>
      <c r="K1150" s="71"/>
    </row>
    <row r="1151" spans="1:11" s="44" customFormat="1" ht="24" outlineLevel="1" x14ac:dyDescent="0.2">
      <c r="A1151" s="49" t="s">
        <v>1438</v>
      </c>
      <c r="B1151" s="108">
        <v>43132</v>
      </c>
      <c r="C1151" s="89">
        <v>43465</v>
      </c>
      <c r="D1151" s="159">
        <v>50</v>
      </c>
      <c r="E1151" s="123">
        <v>14203.91</v>
      </c>
      <c r="F1151" s="123"/>
      <c r="G1151" s="123"/>
      <c r="H1151" s="33">
        <f t="shared" si="78"/>
        <v>14203.91</v>
      </c>
      <c r="I1151" s="43">
        <f t="shared" si="79"/>
        <v>14203.91</v>
      </c>
      <c r="J1151" s="102"/>
      <c r="K1151" s="71"/>
    </row>
    <row r="1152" spans="1:11" s="44" customFormat="1" outlineLevel="1" x14ac:dyDescent="0.2">
      <c r="A1152" s="49" t="s">
        <v>1439</v>
      </c>
      <c r="B1152" s="108">
        <v>43215</v>
      </c>
      <c r="C1152" s="89">
        <v>43465</v>
      </c>
      <c r="D1152" s="159">
        <v>70</v>
      </c>
      <c r="E1152" s="123">
        <v>8484.41</v>
      </c>
      <c r="F1152" s="123">
        <v>54173.22</v>
      </c>
      <c r="G1152" s="123"/>
      <c r="H1152" s="33">
        <f t="shared" si="78"/>
        <v>62657.630000000005</v>
      </c>
      <c r="I1152" s="43">
        <f t="shared" si="79"/>
        <v>62657.630000000005</v>
      </c>
      <c r="J1152" s="102"/>
      <c r="K1152" s="71"/>
    </row>
    <row r="1153" spans="1:11" s="44" customFormat="1" outlineLevel="1" x14ac:dyDescent="0.2">
      <c r="A1153" s="49" t="s">
        <v>1440</v>
      </c>
      <c r="B1153" s="108">
        <v>43248</v>
      </c>
      <c r="C1153" s="89">
        <v>43465</v>
      </c>
      <c r="D1153" s="159">
        <v>50</v>
      </c>
      <c r="E1153" s="123">
        <v>11201.47</v>
      </c>
      <c r="F1153" s="123"/>
      <c r="G1153" s="123"/>
      <c r="H1153" s="33">
        <f t="shared" si="78"/>
        <v>11201.47</v>
      </c>
      <c r="I1153" s="43">
        <f t="shared" si="79"/>
        <v>11201.47</v>
      </c>
      <c r="J1153" s="102"/>
      <c r="K1153" s="71"/>
    </row>
    <row r="1154" spans="1:11" s="44" customFormat="1" outlineLevel="1" x14ac:dyDescent="0.2">
      <c r="A1154" s="49" t="s">
        <v>1441</v>
      </c>
      <c r="B1154" s="108">
        <v>43248</v>
      </c>
      <c r="C1154" s="89">
        <v>43465</v>
      </c>
      <c r="D1154" s="159">
        <v>50</v>
      </c>
      <c r="E1154" s="123">
        <v>11171.12</v>
      </c>
      <c r="F1154" s="123"/>
      <c r="G1154" s="123"/>
      <c r="H1154" s="33">
        <f t="shared" si="78"/>
        <v>11171.12</v>
      </c>
      <c r="I1154" s="43">
        <f t="shared" si="79"/>
        <v>11171.12</v>
      </c>
      <c r="J1154" s="102"/>
      <c r="K1154" s="71"/>
    </row>
    <row r="1155" spans="1:11" s="44" customFormat="1" outlineLevel="1" x14ac:dyDescent="0.2">
      <c r="A1155" s="49" t="s">
        <v>1442</v>
      </c>
      <c r="B1155" s="108">
        <v>43279</v>
      </c>
      <c r="C1155" s="89">
        <v>43465</v>
      </c>
      <c r="D1155" s="159">
        <v>50</v>
      </c>
      <c r="E1155" s="123">
        <v>8420.19</v>
      </c>
      <c r="F1155" s="123"/>
      <c r="G1155" s="123"/>
      <c r="H1155" s="33">
        <f t="shared" si="78"/>
        <v>8420.19</v>
      </c>
      <c r="I1155" s="43">
        <f t="shared" si="79"/>
        <v>8420.19</v>
      </c>
      <c r="J1155" s="102"/>
      <c r="K1155" s="71"/>
    </row>
    <row r="1156" spans="1:11" s="44" customFormat="1" ht="24" outlineLevel="1" x14ac:dyDescent="0.2">
      <c r="A1156" s="49" t="s">
        <v>1443</v>
      </c>
      <c r="B1156" s="108">
        <v>43283</v>
      </c>
      <c r="C1156" s="89">
        <v>43465</v>
      </c>
      <c r="D1156" s="159">
        <v>99</v>
      </c>
      <c r="E1156" s="123">
        <v>8420.19</v>
      </c>
      <c r="F1156" s="123">
        <v>29530.02</v>
      </c>
      <c r="G1156" s="123"/>
      <c r="H1156" s="33">
        <f t="shared" si="78"/>
        <v>37950.21</v>
      </c>
      <c r="I1156" s="43">
        <f t="shared" si="79"/>
        <v>37950.21</v>
      </c>
      <c r="J1156" s="102"/>
      <c r="K1156" s="71"/>
    </row>
    <row r="1157" spans="1:11" s="44" customFormat="1" ht="24" outlineLevel="1" x14ac:dyDescent="0.2">
      <c r="A1157" s="49" t="s">
        <v>1444</v>
      </c>
      <c r="B1157" s="108">
        <v>43258</v>
      </c>
      <c r="C1157" s="89">
        <v>43465</v>
      </c>
      <c r="D1157" s="159">
        <v>90</v>
      </c>
      <c r="E1157" s="123">
        <v>11137.25</v>
      </c>
      <c r="F1157" s="123">
        <v>40617.440000000002</v>
      </c>
      <c r="G1157" s="123"/>
      <c r="H1157" s="33">
        <f t="shared" si="78"/>
        <v>51754.69</v>
      </c>
      <c r="I1157" s="43">
        <f t="shared" si="79"/>
        <v>51754.69</v>
      </c>
      <c r="J1157" s="102"/>
      <c r="K1157" s="71"/>
    </row>
    <row r="1158" spans="1:11" s="44" customFormat="1" outlineLevel="1" x14ac:dyDescent="0.2">
      <c r="A1158" s="49" t="s">
        <v>1445</v>
      </c>
      <c r="B1158" s="108">
        <v>43279</v>
      </c>
      <c r="C1158" s="89">
        <v>43465</v>
      </c>
      <c r="D1158" s="159">
        <v>99</v>
      </c>
      <c r="E1158" s="123">
        <v>8420.19</v>
      </c>
      <c r="F1158" s="123">
        <v>32999.620000000003</v>
      </c>
      <c r="G1158" s="123"/>
      <c r="H1158" s="33">
        <f t="shared" si="78"/>
        <v>41419.810000000005</v>
      </c>
      <c r="I1158" s="43">
        <f t="shared" si="79"/>
        <v>41419.810000000005</v>
      </c>
      <c r="J1158" s="102"/>
      <c r="K1158" s="71"/>
    </row>
    <row r="1159" spans="1:11" s="44" customFormat="1" ht="24" outlineLevel="1" x14ac:dyDescent="0.2">
      <c r="A1159" s="49" t="s">
        <v>1446</v>
      </c>
      <c r="B1159" s="108">
        <v>43199</v>
      </c>
      <c r="C1159" s="89">
        <v>43465</v>
      </c>
      <c r="D1159" s="159">
        <v>50</v>
      </c>
      <c r="E1159" s="123">
        <v>14246.85</v>
      </c>
      <c r="F1159" s="123"/>
      <c r="G1159" s="123"/>
      <c r="H1159" s="33">
        <f t="shared" si="78"/>
        <v>14246.85</v>
      </c>
      <c r="I1159" s="43">
        <f t="shared" si="79"/>
        <v>14246.85</v>
      </c>
      <c r="J1159" s="102"/>
      <c r="K1159" s="71"/>
    </row>
    <row r="1160" spans="1:11" s="44" customFormat="1" ht="24" outlineLevel="1" x14ac:dyDescent="0.2">
      <c r="A1160" s="49" t="s">
        <v>1447</v>
      </c>
      <c r="B1160" s="108">
        <v>43259</v>
      </c>
      <c r="C1160" s="89">
        <v>43465</v>
      </c>
      <c r="D1160" s="159">
        <v>50</v>
      </c>
      <c r="E1160" s="123">
        <v>11244.41</v>
      </c>
      <c r="F1160" s="123"/>
      <c r="G1160" s="123"/>
      <c r="H1160" s="33">
        <f t="shared" si="78"/>
        <v>11244.41</v>
      </c>
      <c r="I1160" s="43">
        <f t="shared" si="79"/>
        <v>11244.41</v>
      </c>
      <c r="J1160" s="102"/>
      <c r="K1160" s="71"/>
    </row>
    <row r="1161" spans="1:11" s="44" customFormat="1" ht="24" outlineLevel="1" x14ac:dyDescent="0.2">
      <c r="A1161" s="49" t="s">
        <v>1448</v>
      </c>
      <c r="B1161" s="108">
        <v>43188</v>
      </c>
      <c r="C1161" s="89">
        <v>43465</v>
      </c>
      <c r="D1161" s="159">
        <v>60</v>
      </c>
      <c r="E1161" s="123">
        <v>8459.89</v>
      </c>
      <c r="F1161" s="123">
        <v>36612.870000000003</v>
      </c>
      <c r="G1161" s="123"/>
      <c r="H1161" s="33">
        <f t="shared" si="78"/>
        <v>45072.76</v>
      </c>
      <c r="I1161" s="43">
        <f t="shared" si="79"/>
        <v>45072.76</v>
      </c>
      <c r="J1161" s="102"/>
      <c r="K1161" s="71"/>
    </row>
    <row r="1162" spans="1:11" s="44" customFormat="1" ht="24" outlineLevel="1" x14ac:dyDescent="0.2">
      <c r="A1162" s="49" t="s">
        <v>1449</v>
      </c>
      <c r="B1162" s="108">
        <v>43257</v>
      </c>
      <c r="C1162" s="89">
        <v>43465</v>
      </c>
      <c r="D1162" s="159">
        <v>99</v>
      </c>
      <c r="E1162" s="123">
        <v>11176.95</v>
      </c>
      <c r="F1162" s="123">
        <v>35206.17</v>
      </c>
      <c r="G1162" s="123"/>
      <c r="H1162" s="33">
        <f t="shared" si="78"/>
        <v>46383.119999999995</v>
      </c>
      <c r="I1162" s="43">
        <f t="shared" si="79"/>
        <v>46383.119999999995</v>
      </c>
      <c r="J1162" s="102"/>
      <c r="K1162" s="71"/>
    </row>
    <row r="1163" spans="1:11" s="44" customFormat="1" outlineLevel="1" x14ac:dyDescent="0.2">
      <c r="A1163" s="49" t="s">
        <v>1450</v>
      </c>
      <c r="B1163" s="108">
        <v>43260</v>
      </c>
      <c r="C1163" s="89">
        <v>43465</v>
      </c>
      <c r="D1163" s="159">
        <v>50</v>
      </c>
      <c r="E1163" s="123">
        <v>8459.89</v>
      </c>
      <c r="F1163" s="123"/>
      <c r="G1163" s="123"/>
      <c r="H1163" s="33">
        <f t="shared" si="78"/>
        <v>8459.89</v>
      </c>
      <c r="I1163" s="43">
        <f t="shared" si="79"/>
        <v>8459.89</v>
      </c>
      <c r="J1163" s="102"/>
      <c r="K1163" s="71"/>
    </row>
    <row r="1164" spans="1:11" s="44" customFormat="1" ht="24" outlineLevel="1" x14ac:dyDescent="0.2">
      <c r="A1164" s="49" t="s">
        <v>1451</v>
      </c>
      <c r="B1164" s="108">
        <v>43227</v>
      </c>
      <c r="C1164" s="89">
        <v>43465</v>
      </c>
      <c r="D1164" s="159">
        <v>70</v>
      </c>
      <c r="E1164" s="123">
        <v>4666.95</v>
      </c>
      <c r="F1164" s="123">
        <v>36260.300000000003</v>
      </c>
      <c r="G1164" s="123"/>
      <c r="H1164" s="33">
        <f t="shared" si="78"/>
        <v>40927.25</v>
      </c>
      <c r="I1164" s="43">
        <f t="shared" si="79"/>
        <v>40927.25</v>
      </c>
      <c r="J1164" s="102"/>
      <c r="K1164" s="71"/>
    </row>
    <row r="1165" spans="1:11" s="44" customFormat="1" ht="24" outlineLevel="1" x14ac:dyDescent="0.2">
      <c r="A1165" s="49" t="s">
        <v>1452</v>
      </c>
      <c r="B1165" s="108">
        <v>43230</v>
      </c>
      <c r="C1165" s="89">
        <v>43465</v>
      </c>
      <c r="D1165" s="159">
        <v>50</v>
      </c>
      <c r="E1165" s="123">
        <v>8473.11</v>
      </c>
      <c r="F1165" s="123"/>
      <c r="G1165" s="123"/>
      <c r="H1165" s="33">
        <f t="shared" si="78"/>
        <v>8473.11</v>
      </c>
      <c r="I1165" s="43">
        <f t="shared" si="79"/>
        <v>8473.11</v>
      </c>
      <c r="J1165" s="102"/>
      <c r="K1165" s="71"/>
    </row>
    <row r="1166" spans="1:11" s="44" customFormat="1" ht="24" outlineLevel="1" x14ac:dyDescent="0.2">
      <c r="A1166" s="49" t="s">
        <v>1453</v>
      </c>
      <c r="B1166" s="108">
        <v>43343</v>
      </c>
      <c r="C1166" s="89">
        <v>43465</v>
      </c>
      <c r="D1166" s="159">
        <v>50</v>
      </c>
      <c r="E1166" s="123">
        <v>8473.11</v>
      </c>
      <c r="F1166" s="123"/>
      <c r="G1166" s="123"/>
      <c r="H1166" s="33">
        <f t="shared" si="78"/>
        <v>8473.11</v>
      </c>
      <c r="I1166" s="43">
        <f t="shared" si="79"/>
        <v>8473.11</v>
      </c>
      <c r="J1166" s="102"/>
      <c r="K1166" s="71"/>
    </row>
    <row r="1167" spans="1:11" s="44" customFormat="1" ht="24" outlineLevel="1" x14ac:dyDescent="0.2">
      <c r="A1167" s="49" t="s">
        <v>1454</v>
      </c>
      <c r="B1167" s="108">
        <v>43291</v>
      </c>
      <c r="C1167" s="89">
        <v>43465</v>
      </c>
      <c r="D1167" s="159">
        <v>50</v>
      </c>
      <c r="E1167" s="123">
        <v>8094.82</v>
      </c>
      <c r="F1167" s="123"/>
      <c r="G1167" s="123"/>
      <c r="H1167" s="33">
        <f t="shared" si="78"/>
        <v>8094.82</v>
      </c>
      <c r="I1167" s="43">
        <f t="shared" si="79"/>
        <v>8094.82</v>
      </c>
      <c r="J1167" s="102"/>
      <c r="K1167" s="71"/>
    </row>
    <row r="1168" spans="1:11" s="44" customFormat="1" ht="24" outlineLevel="1" x14ac:dyDescent="0.2">
      <c r="A1168" s="49" t="s">
        <v>1455</v>
      </c>
      <c r="B1168" s="108">
        <v>43287</v>
      </c>
      <c r="C1168" s="89">
        <v>43465</v>
      </c>
      <c r="D1168" s="159">
        <v>50</v>
      </c>
      <c r="E1168" s="123">
        <v>8094.82</v>
      </c>
      <c r="F1168" s="123"/>
      <c r="G1168" s="123"/>
      <c r="H1168" s="33">
        <f t="shared" si="78"/>
        <v>8094.82</v>
      </c>
      <c r="I1168" s="43">
        <f t="shared" si="79"/>
        <v>8094.82</v>
      </c>
      <c r="J1168" s="102"/>
      <c r="K1168" s="71"/>
    </row>
    <row r="1169" spans="1:11" s="44" customFormat="1" ht="24" outlineLevel="1" x14ac:dyDescent="0.2">
      <c r="A1169" s="49" t="s">
        <v>1456</v>
      </c>
      <c r="B1169" s="108">
        <v>43286</v>
      </c>
      <c r="C1169" s="89">
        <v>43465</v>
      </c>
      <c r="D1169" s="159">
        <v>60</v>
      </c>
      <c r="E1169" s="123">
        <v>8094.82</v>
      </c>
      <c r="F1169" s="123">
        <v>28702.83</v>
      </c>
      <c r="G1169" s="123"/>
      <c r="H1169" s="33">
        <f t="shared" ref="H1169:H1232" si="80">E1169+F1169+G1169</f>
        <v>36797.65</v>
      </c>
      <c r="I1169" s="43">
        <f t="shared" ref="I1169:I1232" si="81">H1169</f>
        <v>36797.65</v>
      </c>
      <c r="J1169" s="102"/>
      <c r="K1169" s="71"/>
    </row>
    <row r="1170" spans="1:11" s="44" customFormat="1" ht="24" outlineLevel="1" x14ac:dyDescent="0.2">
      <c r="A1170" s="49" t="s">
        <v>1457</v>
      </c>
      <c r="B1170" s="108">
        <v>43283</v>
      </c>
      <c r="C1170" s="89">
        <v>43465</v>
      </c>
      <c r="D1170" s="159">
        <v>60</v>
      </c>
      <c r="E1170" s="123">
        <v>8094.82</v>
      </c>
      <c r="F1170" s="123">
        <v>29438.62</v>
      </c>
      <c r="G1170" s="123"/>
      <c r="H1170" s="33">
        <f t="shared" si="80"/>
        <v>37533.440000000002</v>
      </c>
      <c r="I1170" s="43">
        <f t="shared" si="81"/>
        <v>37533.440000000002</v>
      </c>
      <c r="J1170" s="102"/>
      <c r="K1170" s="71"/>
    </row>
    <row r="1171" spans="1:11" s="44" customFormat="1" ht="24" outlineLevel="1" x14ac:dyDescent="0.2">
      <c r="A1171" s="49" t="s">
        <v>1458</v>
      </c>
      <c r="B1171" s="108">
        <v>43297</v>
      </c>
      <c r="C1171" s="89">
        <v>43465</v>
      </c>
      <c r="D1171" s="159">
        <v>50</v>
      </c>
      <c r="E1171" s="123">
        <v>8094.82</v>
      </c>
      <c r="F1171" s="123"/>
      <c r="G1171" s="123"/>
      <c r="H1171" s="33">
        <f t="shared" si="80"/>
        <v>8094.82</v>
      </c>
      <c r="I1171" s="43">
        <f t="shared" si="81"/>
        <v>8094.82</v>
      </c>
      <c r="J1171" s="102"/>
      <c r="K1171" s="71"/>
    </row>
    <row r="1172" spans="1:11" s="44" customFormat="1" outlineLevel="1" x14ac:dyDescent="0.2">
      <c r="A1172" s="49" t="s">
        <v>1459</v>
      </c>
      <c r="B1172" s="108">
        <v>43290</v>
      </c>
      <c r="C1172" s="89">
        <v>43465</v>
      </c>
      <c r="D1172" s="159">
        <v>50</v>
      </c>
      <c r="E1172" s="123">
        <v>8094.82</v>
      </c>
      <c r="F1172" s="123"/>
      <c r="G1172" s="123"/>
      <c r="H1172" s="33">
        <f t="shared" si="80"/>
        <v>8094.82</v>
      </c>
      <c r="I1172" s="43">
        <f t="shared" si="81"/>
        <v>8094.82</v>
      </c>
      <c r="J1172" s="102"/>
      <c r="K1172" s="71"/>
    </row>
    <row r="1173" spans="1:11" s="44" customFormat="1" outlineLevel="1" x14ac:dyDescent="0.2">
      <c r="A1173" s="49" t="s">
        <v>1460</v>
      </c>
      <c r="B1173" s="108">
        <v>43277</v>
      </c>
      <c r="C1173" s="89">
        <v>43465</v>
      </c>
      <c r="D1173" s="159">
        <v>50</v>
      </c>
      <c r="E1173" s="123">
        <v>8094.82</v>
      </c>
      <c r="F1173" s="123"/>
      <c r="G1173" s="123"/>
      <c r="H1173" s="33">
        <f t="shared" si="80"/>
        <v>8094.82</v>
      </c>
      <c r="I1173" s="43">
        <f t="shared" si="81"/>
        <v>8094.82</v>
      </c>
      <c r="J1173" s="102"/>
      <c r="K1173" s="71"/>
    </row>
    <row r="1174" spans="1:11" s="44" customFormat="1" outlineLevel="1" x14ac:dyDescent="0.2">
      <c r="A1174" s="49" t="s">
        <v>1461</v>
      </c>
      <c r="B1174" s="108">
        <v>43292</v>
      </c>
      <c r="C1174" s="89">
        <v>43465</v>
      </c>
      <c r="D1174" s="159">
        <v>60</v>
      </c>
      <c r="E1174" s="123">
        <v>8094.82</v>
      </c>
      <c r="F1174" s="123">
        <v>30352.99</v>
      </c>
      <c r="G1174" s="123"/>
      <c r="H1174" s="33">
        <f t="shared" si="80"/>
        <v>38447.81</v>
      </c>
      <c r="I1174" s="43">
        <f t="shared" si="81"/>
        <v>38447.81</v>
      </c>
      <c r="J1174" s="102"/>
      <c r="K1174" s="71"/>
    </row>
    <row r="1175" spans="1:11" s="44" customFormat="1" outlineLevel="1" x14ac:dyDescent="0.2">
      <c r="A1175" s="49" t="s">
        <v>1462</v>
      </c>
      <c r="B1175" s="108">
        <v>43319</v>
      </c>
      <c r="C1175" s="89">
        <v>43465</v>
      </c>
      <c r="D1175" s="159">
        <v>40</v>
      </c>
      <c r="E1175" s="123">
        <v>4602.05</v>
      </c>
      <c r="F1175" s="123"/>
      <c r="G1175" s="123"/>
      <c r="H1175" s="33">
        <f t="shared" si="80"/>
        <v>4602.05</v>
      </c>
      <c r="I1175" s="43">
        <f t="shared" si="81"/>
        <v>4602.05</v>
      </c>
      <c r="J1175" s="102"/>
      <c r="K1175" s="71"/>
    </row>
    <row r="1176" spans="1:11" s="44" customFormat="1" ht="24" outlineLevel="1" x14ac:dyDescent="0.2">
      <c r="A1176" s="49" t="s">
        <v>1463</v>
      </c>
      <c r="B1176" s="108">
        <v>43249</v>
      </c>
      <c r="C1176" s="89">
        <v>43465</v>
      </c>
      <c r="D1176" s="159">
        <v>70</v>
      </c>
      <c r="E1176" s="123">
        <v>14992.85</v>
      </c>
      <c r="F1176" s="123">
        <v>64764.49</v>
      </c>
      <c r="G1176" s="123"/>
      <c r="H1176" s="33">
        <f t="shared" si="80"/>
        <v>79757.34</v>
      </c>
      <c r="I1176" s="43">
        <f t="shared" si="81"/>
        <v>79757.34</v>
      </c>
      <c r="J1176" s="102"/>
      <c r="K1176" s="71"/>
    </row>
    <row r="1177" spans="1:11" s="44" customFormat="1" ht="24" outlineLevel="1" x14ac:dyDescent="0.2">
      <c r="A1177" s="49" t="s">
        <v>1464</v>
      </c>
      <c r="B1177" s="108">
        <v>43286</v>
      </c>
      <c r="C1177" s="89">
        <v>43465</v>
      </c>
      <c r="D1177" s="159">
        <v>70</v>
      </c>
      <c r="E1177" s="123">
        <v>8094.82</v>
      </c>
      <c r="F1177" s="123">
        <v>28128.29</v>
      </c>
      <c r="G1177" s="123"/>
      <c r="H1177" s="33">
        <f t="shared" si="80"/>
        <v>36223.11</v>
      </c>
      <c r="I1177" s="43">
        <f t="shared" si="81"/>
        <v>36223.11</v>
      </c>
      <c r="J1177" s="102"/>
      <c r="K1177" s="71"/>
    </row>
    <row r="1178" spans="1:11" s="44" customFormat="1" ht="24" outlineLevel="1" x14ac:dyDescent="0.2">
      <c r="A1178" s="49" t="s">
        <v>1465</v>
      </c>
      <c r="B1178" s="108">
        <v>43291</v>
      </c>
      <c r="C1178" s="89">
        <v>43465</v>
      </c>
      <c r="D1178" s="159">
        <v>50</v>
      </c>
      <c r="E1178" s="123">
        <v>8094.82</v>
      </c>
      <c r="F1178" s="123"/>
      <c r="G1178" s="123"/>
      <c r="H1178" s="33">
        <f t="shared" si="80"/>
        <v>8094.82</v>
      </c>
      <c r="I1178" s="43">
        <f t="shared" si="81"/>
        <v>8094.82</v>
      </c>
      <c r="J1178" s="102"/>
      <c r="K1178" s="71"/>
    </row>
    <row r="1179" spans="1:11" s="44" customFormat="1" outlineLevel="1" x14ac:dyDescent="0.2">
      <c r="A1179" s="49" t="s">
        <v>1466</v>
      </c>
      <c r="B1179" s="108">
        <v>43269</v>
      </c>
      <c r="C1179" s="89">
        <v>43465</v>
      </c>
      <c r="D1179" s="159">
        <v>90</v>
      </c>
      <c r="E1179" s="123">
        <v>7370.84</v>
      </c>
      <c r="F1179" s="123">
        <v>76792.92</v>
      </c>
      <c r="G1179" s="123"/>
      <c r="H1179" s="33">
        <f t="shared" si="80"/>
        <v>84163.76</v>
      </c>
      <c r="I1179" s="43">
        <f t="shared" si="81"/>
        <v>84163.76</v>
      </c>
      <c r="J1179" s="102"/>
      <c r="K1179" s="71"/>
    </row>
    <row r="1180" spans="1:11" s="44" customFormat="1" ht="24" outlineLevel="1" x14ac:dyDescent="0.2">
      <c r="A1180" s="49" t="s">
        <v>1467</v>
      </c>
      <c r="B1180" s="108">
        <v>43273</v>
      </c>
      <c r="C1180" s="89">
        <v>43465</v>
      </c>
      <c r="D1180" s="159">
        <v>50</v>
      </c>
      <c r="E1180" s="123">
        <v>8925.4599999999991</v>
      </c>
      <c r="F1180" s="123"/>
      <c r="G1180" s="123"/>
      <c r="H1180" s="33">
        <f t="shared" si="80"/>
        <v>8925.4599999999991</v>
      </c>
      <c r="I1180" s="43">
        <f t="shared" si="81"/>
        <v>8925.4599999999991</v>
      </c>
      <c r="J1180" s="102"/>
      <c r="K1180" s="71"/>
    </row>
    <row r="1181" spans="1:11" s="44" customFormat="1" outlineLevel="1" x14ac:dyDescent="0.2">
      <c r="A1181" s="49" t="s">
        <v>1468</v>
      </c>
      <c r="B1181" s="108">
        <v>43249</v>
      </c>
      <c r="C1181" s="89">
        <v>43465</v>
      </c>
      <c r="D1181" s="159">
        <v>90</v>
      </c>
      <c r="E1181" s="123">
        <v>8925.4599999999991</v>
      </c>
      <c r="F1181" s="123">
        <v>25917.57</v>
      </c>
      <c r="G1181" s="123"/>
      <c r="H1181" s="33">
        <f t="shared" si="80"/>
        <v>34843.03</v>
      </c>
      <c r="I1181" s="43">
        <f t="shared" si="81"/>
        <v>34843.03</v>
      </c>
      <c r="J1181" s="102"/>
      <c r="K1181" s="71"/>
    </row>
    <row r="1182" spans="1:11" s="44" customFormat="1" ht="24" outlineLevel="1" x14ac:dyDescent="0.2">
      <c r="A1182" s="49" t="s">
        <v>1469</v>
      </c>
      <c r="B1182" s="108">
        <v>43291</v>
      </c>
      <c r="C1182" s="89">
        <v>43465</v>
      </c>
      <c r="D1182" s="159">
        <v>60</v>
      </c>
      <c r="E1182" s="123">
        <v>8925.4599999999991</v>
      </c>
      <c r="F1182" s="123">
        <v>28675.87</v>
      </c>
      <c r="G1182" s="123"/>
      <c r="H1182" s="33">
        <f t="shared" si="80"/>
        <v>37601.33</v>
      </c>
      <c r="I1182" s="43">
        <f t="shared" si="81"/>
        <v>37601.33</v>
      </c>
      <c r="J1182" s="102"/>
      <c r="K1182" s="71"/>
    </row>
    <row r="1183" spans="1:11" s="44" customFormat="1" outlineLevel="1" x14ac:dyDescent="0.2">
      <c r="A1183" s="49" t="s">
        <v>1470</v>
      </c>
      <c r="B1183" s="108">
        <v>43234</v>
      </c>
      <c r="C1183" s="89">
        <v>43465</v>
      </c>
      <c r="D1183" s="159">
        <v>50</v>
      </c>
      <c r="E1183" s="123">
        <v>11642.52</v>
      </c>
      <c r="F1183" s="123"/>
      <c r="G1183" s="123"/>
      <c r="H1183" s="33">
        <f t="shared" si="80"/>
        <v>11642.52</v>
      </c>
      <c r="I1183" s="43">
        <f t="shared" si="81"/>
        <v>11642.52</v>
      </c>
      <c r="J1183" s="102"/>
      <c r="K1183" s="71"/>
    </row>
    <row r="1184" spans="1:11" s="44" customFormat="1" outlineLevel="1" x14ac:dyDescent="0.2">
      <c r="A1184" s="49" t="s">
        <v>1471</v>
      </c>
      <c r="B1184" s="108">
        <v>43171</v>
      </c>
      <c r="C1184" s="89">
        <v>43465</v>
      </c>
      <c r="D1184" s="159">
        <v>50</v>
      </c>
      <c r="E1184" s="123">
        <v>8212.7000000000007</v>
      </c>
      <c r="F1184" s="123"/>
      <c r="G1184" s="123"/>
      <c r="H1184" s="33">
        <f t="shared" si="80"/>
        <v>8212.7000000000007</v>
      </c>
      <c r="I1184" s="43">
        <f t="shared" si="81"/>
        <v>8212.7000000000007</v>
      </c>
      <c r="J1184" s="102"/>
      <c r="K1184" s="71"/>
    </row>
    <row r="1185" spans="1:11" s="44" customFormat="1" outlineLevel="1" x14ac:dyDescent="0.2">
      <c r="A1185" s="49" t="s">
        <v>1472</v>
      </c>
      <c r="B1185" s="108">
        <v>43116</v>
      </c>
      <c r="C1185" s="89">
        <v>43465</v>
      </c>
      <c r="D1185" s="159">
        <v>60</v>
      </c>
      <c r="E1185" s="123">
        <v>8212.7000000000007</v>
      </c>
      <c r="F1185" s="123">
        <v>29403.93</v>
      </c>
      <c r="G1185" s="123"/>
      <c r="H1185" s="33">
        <f t="shared" si="80"/>
        <v>37616.630000000005</v>
      </c>
      <c r="I1185" s="43">
        <f t="shared" si="81"/>
        <v>37616.630000000005</v>
      </c>
      <c r="J1185" s="102"/>
      <c r="K1185" s="71"/>
    </row>
    <row r="1186" spans="1:11" s="44" customFormat="1" ht="24" outlineLevel="1" x14ac:dyDescent="0.2">
      <c r="A1186" s="49" t="s">
        <v>1473</v>
      </c>
      <c r="B1186" s="108">
        <v>43299</v>
      </c>
      <c r="C1186" s="89">
        <v>43465</v>
      </c>
      <c r="D1186" s="159">
        <v>50</v>
      </c>
      <c r="E1186" s="123">
        <v>8212.7000000000007</v>
      </c>
      <c r="F1186" s="123"/>
      <c r="G1186" s="123"/>
      <c r="H1186" s="33">
        <f t="shared" si="80"/>
        <v>8212.7000000000007</v>
      </c>
      <c r="I1186" s="43">
        <f t="shared" si="81"/>
        <v>8212.7000000000007</v>
      </c>
      <c r="J1186" s="102"/>
      <c r="K1186" s="71"/>
    </row>
    <row r="1187" spans="1:11" s="44" customFormat="1" ht="24" outlineLevel="1" x14ac:dyDescent="0.2">
      <c r="A1187" s="49" t="s">
        <v>1474</v>
      </c>
      <c r="B1187" s="108">
        <v>43137</v>
      </c>
      <c r="C1187" s="89">
        <v>43465</v>
      </c>
      <c r="D1187" s="159">
        <v>60</v>
      </c>
      <c r="E1187" s="123">
        <v>14421.03</v>
      </c>
      <c r="F1187" s="123">
        <v>33142.58</v>
      </c>
      <c r="G1187" s="123"/>
      <c r="H1187" s="33">
        <f t="shared" si="80"/>
        <v>47563.61</v>
      </c>
      <c r="I1187" s="43">
        <f t="shared" si="81"/>
        <v>47563.61</v>
      </c>
      <c r="J1187" s="102"/>
      <c r="K1187" s="71"/>
    </row>
    <row r="1188" spans="1:11" s="44" customFormat="1" outlineLevel="1" x14ac:dyDescent="0.2">
      <c r="A1188" s="49" t="s">
        <v>1475</v>
      </c>
      <c r="B1188" s="108">
        <v>43277</v>
      </c>
      <c r="C1188" s="89">
        <v>43465</v>
      </c>
      <c r="D1188" s="159">
        <v>80</v>
      </c>
      <c r="E1188" s="123">
        <v>8833.51</v>
      </c>
      <c r="F1188" s="123">
        <v>1513.01</v>
      </c>
      <c r="G1188" s="123"/>
      <c r="H1188" s="33">
        <f t="shared" si="80"/>
        <v>10346.52</v>
      </c>
      <c r="I1188" s="43">
        <f t="shared" si="81"/>
        <v>10346.52</v>
      </c>
      <c r="J1188" s="102"/>
      <c r="K1188" s="71"/>
    </row>
    <row r="1189" spans="1:11" s="44" customFormat="1" ht="24" outlineLevel="1" x14ac:dyDescent="0.2">
      <c r="A1189" s="49" t="s">
        <v>1476</v>
      </c>
      <c r="B1189" s="108">
        <v>43293</v>
      </c>
      <c r="C1189" s="89">
        <v>43465</v>
      </c>
      <c r="D1189" s="159">
        <v>50</v>
      </c>
      <c r="E1189" s="123">
        <v>8833.32</v>
      </c>
      <c r="F1189" s="123"/>
      <c r="G1189" s="123"/>
      <c r="H1189" s="33">
        <f t="shared" si="80"/>
        <v>8833.32</v>
      </c>
      <c r="I1189" s="43">
        <f t="shared" si="81"/>
        <v>8833.32</v>
      </c>
      <c r="J1189" s="102"/>
      <c r="K1189" s="71"/>
    </row>
    <row r="1190" spans="1:11" s="44" customFormat="1" ht="24" outlineLevel="1" x14ac:dyDescent="0.2">
      <c r="A1190" s="49" t="s">
        <v>1477</v>
      </c>
      <c r="B1190" s="108">
        <v>43236</v>
      </c>
      <c r="C1190" s="89">
        <v>43465</v>
      </c>
      <c r="D1190" s="159">
        <v>50</v>
      </c>
      <c r="E1190" s="123">
        <v>11540.99</v>
      </c>
      <c r="F1190" s="123"/>
      <c r="G1190" s="123"/>
      <c r="H1190" s="33">
        <f t="shared" si="80"/>
        <v>11540.99</v>
      </c>
      <c r="I1190" s="43">
        <f t="shared" si="81"/>
        <v>11540.99</v>
      </c>
      <c r="J1190" s="102"/>
      <c r="K1190" s="71"/>
    </row>
    <row r="1191" spans="1:11" s="44" customFormat="1" ht="24" outlineLevel="1" x14ac:dyDescent="0.2">
      <c r="A1191" s="49" t="s">
        <v>1478</v>
      </c>
      <c r="B1191" s="108">
        <v>43276</v>
      </c>
      <c r="C1191" s="89">
        <v>43465</v>
      </c>
      <c r="D1191" s="159">
        <v>50</v>
      </c>
      <c r="E1191" s="123">
        <v>8823.93</v>
      </c>
      <c r="F1191" s="123"/>
      <c r="G1191" s="123"/>
      <c r="H1191" s="33">
        <f t="shared" si="80"/>
        <v>8823.93</v>
      </c>
      <c r="I1191" s="43">
        <f t="shared" si="81"/>
        <v>8823.93</v>
      </c>
      <c r="J1191" s="102"/>
      <c r="K1191" s="71"/>
    </row>
    <row r="1192" spans="1:11" s="44" customFormat="1" outlineLevel="1" x14ac:dyDescent="0.2">
      <c r="A1192" s="49" t="s">
        <v>1479</v>
      </c>
      <c r="B1192" s="108">
        <v>43218</v>
      </c>
      <c r="C1192" s="89">
        <v>43465</v>
      </c>
      <c r="D1192" s="159">
        <v>70</v>
      </c>
      <c r="E1192" s="123">
        <v>4919.95</v>
      </c>
      <c r="F1192" s="123">
        <v>59735.56</v>
      </c>
      <c r="G1192" s="123"/>
      <c r="H1192" s="33">
        <f t="shared" si="80"/>
        <v>64655.509999999995</v>
      </c>
      <c r="I1192" s="43">
        <f t="shared" si="81"/>
        <v>64655.509999999995</v>
      </c>
      <c r="J1192" s="102"/>
      <c r="K1192" s="71"/>
    </row>
    <row r="1193" spans="1:11" s="44" customFormat="1" outlineLevel="1" x14ac:dyDescent="0.2">
      <c r="A1193" s="49" t="s">
        <v>1480</v>
      </c>
      <c r="B1193" s="108">
        <v>43272</v>
      </c>
      <c r="C1193" s="89">
        <v>43465</v>
      </c>
      <c r="D1193" s="159">
        <v>50</v>
      </c>
      <c r="E1193" s="123">
        <v>8830.99</v>
      </c>
      <c r="F1193" s="123"/>
      <c r="G1193" s="123"/>
      <c r="H1193" s="33">
        <f t="shared" si="80"/>
        <v>8830.99</v>
      </c>
      <c r="I1193" s="43">
        <f t="shared" si="81"/>
        <v>8830.99</v>
      </c>
      <c r="J1193" s="102"/>
      <c r="K1193" s="71"/>
    </row>
    <row r="1194" spans="1:11" s="44" customFormat="1" ht="24" outlineLevel="1" x14ac:dyDescent="0.2">
      <c r="A1194" s="49" t="s">
        <v>1481</v>
      </c>
      <c r="B1194" s="108">
        <v>43237</v>
      </c>
      <c r="C1194" s="89">
        <v>43465</v>
      </c>
      <c r="D1194" s="159">
        <v>50</v>
      </c>
      <c r="E1194" s="123">
        <v>11540.99</v>
      </c>
      <c r="F1194" s="123"/>
      <c r="G1194" s="123"/>
      <c r="H1194" s="33">
        <f t="shared" si="80"/>
        <v>11540.99</v>
      </c>
      <c r="I1194" s="43">
        <f t="shared" si="81"/>
        <v>11540.99</v>
      </c>
      <c r="J1194" s="102"/>
      <c r="K1194" s="71"/>
    </row>
    <row r="1195" spans="1:11" s="44" customFormat="1" ht="24" outlineLevel="1" x14ac:dyDescent="0.2">
      <c r="A1195" s="49" t="s">
        <v>1482</v>
      </c>
      <c r="B1195" s="108">
        <v>43313</v>
      </c>
      <c r="C1195" s="89">
        <v>43465</v>
      </c>
      <c r="D1195" s="159">
        <v>50</v>
      </c>
      <c r="E1195" s="123">
        <v>8094.8</v>
      </c>
      <c r="F1195" s="123"/>
      <c r="G1195" s="123"/>
      <c r="H1195" s="33">
        <f t="shared" si="80"/>
        <v>8094.8</v>
      </c>
      <c r="I1195" s="43">
        <f t="shared" si="81"/>
        <v>8094.8</v>
      </c>
      <c r="J1195" s="102"/>
      <c r="K1195" s="71"/>
    </row>
    <row r="1196" spans="1:11" s="44" customFormat="1" ht="24" outlineLevel="1" x14ac:dyDescent="0.2">
      <c r="A1196" s="49" t="s">
        <v>1483</v>
      </c>
      <c r="B1196" s="108">
        <v>43293</v>
      </c>
      <c r="C1196" s="89">
        <v>43465</v>
      </c>
      <c r="D1196" s="159">
        <v>60</v>
      </c>
      <c r="E1196" s="123">
        <v>8094.8</v>
      </c>
      <c r="F1196" s="123">
        <v>32474.34</v>
      </c>
      <c r="G1196" s="123"/>
      <c r="H1196" s="33">
        <f t="shared" si="80"/>
        <v>40569.14</v>
      </c>
      <c r="I1196" s="43">
        <f t="shared" si="81"/>
        <v>40569.14</v>
      </c>
      <c r="J1196" s="102"/>
      <c r="K1196" s="71"/>
    </row>
    <row r="1197" spans="1:11" s="44" customFormat="1" ht="24" outlineLevel="1" x14ac:dyDescent="0.2">
      <c r="A1197" s="49" t="s">
        <v>1484</v>
      </c>
      <c r="B1197" s="108">
        <v>43291</v>
      </c>
      <c r="C1197" s="89">
        <v>43465</v>
      </c>
      <c r="D1197" s="159">
        <v>50</v>
      </c>
      <c r="E1197" s="123">
        <v>8094.8</v>
      </c>
      <c r="F1197" s="123"/>
      <c r="G1197" s="123"/>
      <c r="H1197" s="33">
        <f t="shared" si="80"/>
        <v>8094.8</v>
      </c>
      <c r="I1197" s="43">
        <f t="shared" si="81"/>
        <v>8094.8</v>
      </c>
      <c r="J1197" s="102"/>
      <c r="K1197" s="71"/>
    </row>
    <row r="1198" spans="1:11" s="44" customFormat="1" outlineLevel="1" x14ac:dyDescent="0.2">
      <c r="A1198" s="49" t="s">
        <v>1485</v>
      </c>
      <c r="B1198" s="108">
        <v>43200</v>
      </c>
      <c r="C1198" s="89">
        <v>43465</v>
      </c>
      <c r="D1198" s="159">
        <v>30</v>
      </c>
      <c r="E1198" s="123">
        <v>4789.51</v>
      </c>
      <c r="F1198" s="123"/>
      <c r="G1198" s="123"/>
      <c r="H1198" s="33">
        <f t="shared" si="80"/>
        <v>4789.51</v>
      </c>
      <c r="I1198" s="43">
        <f t="shared" si="81"/>
        <v>4789.51</v>
      </c>
      <c r="J1198" s="102"/>
      <c r="K1198" s="71"/>
    </row>
    <row r="1199" spans="1:11" s="44" customFormat="1" outlineLevel="1" x14ac:dyDescent="0.2">
      <c r="A1199" s="49" t="s">
        <v>1486</v>
      </c>
      <c r="B1199" s="108">
        <v>43251</v>
      </c>
      <c r="C1199" s="89">
        <v>43465</v>
      </c>
      <c r="D1199" s="159">
        <v>30</v>
      </c>
      <c r="E1199" s="123">
        <v>7698.3</v>
      </c>
      <c r="F1199" s="123"/>
      <c r="G1199" s="123"/>
      <c r="H1199" s="33">
        <f t="shared" si="80"/>
        <v>7698.3</v>
      </c>
      <c r="I1199" s="43">
        <f t="shared" si="81"/>
        <v>7698.3</v>
      </c>
      <c r="J1199" s="102"/>
      <c r="K1199" s="71"/>
    </row>
    <row r="1200" spans="1:11" s="44" customFormat="1" outlineLevel="1" x14ac:dyDescent="0.2">
      <c r="A1200" s="49" t="s">
        <v>1487</v>
      </c>
      <c r="B1200" s="108">
        <v>43227</v>
      </c>
      <c r="C1200" s="89">
        <v>43465</v>
      </c>
      <c r="D1200" s="159">
        <v>50</v>
      </c>
      <c r="E1200" s="123">
        <v>11282.78</v>
      </c>
      <c r="F1200" s="123"/>
      <c r="G1200" s="123"/>
      <c r="H1200" s="33">
        <f t="shared" si="80"/>
        <v>11282.78</v>
      </c>
      <c r="I1200" s="43">
        <f t="shared" si="81"/>
        <v>11282.78</v>
      </c>
      <c r="J1200" s="102"/>
      <c r="K1200" s="71"/>
    </row>
    <row r="1201" spans="1:11" s="44" customFormat="1" outlineLevel="1" x14ac:dyDescent="0.2">
      <c r="A1201" s="49" t="s">
        <v>1488</v>
      </c>
      <c r="B1201" s="108">
        <v>43293</v>
      </c>
      <c r="C1201" s="89">
        <v>43465</v>
      </c>
      <c r="D1201" s="159">
        <v>50</v>
      </c>
      <c r="E1201" s="123">
        <v>7967.96</v>
      </c>
      <c r="F1201" s="123"/>
      <c r="G1201" s="123"/>
      <c r="H1201" s="33">
        <f t="shared" si="80"/>
        <v>7967.96</v>
      </c>
      <c r="I1201" s="43">
        <f t="shared" si="81"/>
        <v>7967.96</v>
      </c>
      <c r="J1201" s="102"/>
      <c r="K1201" s="71"/>
    </row>
    <row r="1202" spans="1:11" s="44" customFormat="1" ht="24" outlineLevel="1" x14ac:dyDescent="0.2">
      <c r="A1202" s="49" t="s">
        <v>1489</v>
      </c>
      <c r="B1202" s="108">
        <v>43279</v>
      </c>
      <c r="C1202" s="89">
        <v>43465</v>
      </c>
      <c r="D1202" s="159">
        <v>50</v>
      </c>
      <c r="E1202" s="123">
        <v>7967.96</v>
      </c>
      <c r="F1202" s="123"/>
      <c r="G1202" s="123"/>
      <c r="H1202" s="33">
        <f t="shared" si="80"/>
        <v>7967.96</v>
      </c>
      <c r="I1202" s="43">
        <f t="shared" si="81"/>
        <v>7967.96</v>
      </c>
      <c r="J1202" s="102"/>
      <c r="K1202" s="71"/>
    </row>
    <row r="1203" spans="1:11" s="44" customFormat="1" ht="24" outlineLevel="1" x14ac:dyDescent="0.2">
      <c r="A1203" s="49" t="s">
        <v>1490</v>
      </c>
      <c r="B1203" s="108">
        <v>43273</v>
      </c>
      <c r="C1203" s="89">
        <v>43465</v>
      </c>
      <c r="D1203" s="159">
        <v>50</v>
      </c>
      <c r="E1203" s="123">
        <v>7967.96</v>
      </c>
      <c r="F1203" s="123"/>
      <c r="G1203" s="123"/>
      <c r="H1203" s="33">
        <f t="shared" si="80"/>
        <v>7967.96</v>
      </c>
      <c r="I1203" s="43">
        <f t="shared" si="81"/>
        <v>7967.96</v>
      </c>
      <c r="J1203" s="102"/>
      <c r="K1203" s="71"/>
    </row>
    <row r="1204" spans="1:11" s="44" customFormat="1" ht="24" outlineLevel="1" x14ac:dyDescent="0.2">
      <c r="A1204" s="49" t="s">
        <v>1491</v>
      </c>
      <c r="B1204" s="108">
        <v>43213</v>
      </c>
      <c r="C1204" s="89">
        <v>43465</v>
      </c>
      <c r="D1204" s="159">
        <v>50</v>
      </c>
      <c r="E1204" s="123">
        <v>8532.5499999999993</v>
      </c>
      <c r="F1204" s="123"/>
      <c r="G1204" s="123"/>
      <c r="H1204" s="33">
        <f t="shared" si="80"/>
        <v>8532.5499999999993</v>
      </c>
      <c r="I1204" s="43">
        <f t="shared" si="81"/>
        <v>8532.5499999999993</v>
      </c>
      <c r="J1204" s="102"/>
      <c r="K1204" s="71"/>
    </row>
    <row r="1205" spans="1:11" s="44" customFormat="1" ht="24" outlineLevel="1" x14ac:dyDescent="0.2">
      <c r="A1205" s="49" t="s">
        <v>1492</v>
      </c>
      <c r="B1205" s="108">
        <v>43243</v>
      </c>
      <c r="C1205" s="89">
        <v>43465</v>
      </c>
      <c r="D1205" s="159">
        <v>50</v>
      </c>
      <c r="E1205" s="123">
        <v>8532.5499999999993</v>
      </c>
      <c r="F1205" s="123"/>
      <c r="G1205" s="123"/>
      <c r="H1205" s="33">
        <f t="shared" si="80"/>
        <v>8532.5499999999993</v>
      </c>
      <c r="I1205" s="43">
        <f t="shared" si="81"/>
        <v>8532.5499999999993</v>
      </c>
      <c r="J1205" s="102"/>
      <c r="K1205" s="71"/>
    </row>
    <row r="1206" spans="1:11" s="44" customFormat="1" ht="24" outlineLevel="1" x14ac:dyDescent="0.2">
      <c r="A1206" s="49" t="s">
        <v>1493</v>
      </c>
      <c r="B1206" s="108">
        <v>43257</v>
      </c>
      <c r="C1206" s="89">
        <v>43465</v>
      </c>
      <c r="D1206" s="159">
        <v>50</v>
      </c>
      <c r="E1206" s="123">
        <v>11249.61</v>
      </c>
      <c r="F1206" s="123"/>
      <c r="G1206" s="123"/>
      <c r="H1206" s="33">
        <f t="shared" si="80"/>
        <v>11249.61</v>
      </c>
      <c r="I1206" s="43">
        <f t="shared" si="81"/>
        <v>11249.61</v>
      </c>
      <c r="J1206" s="102"/>
      <c r="K1206" s="71"/>
    </row>
    <row r="1207" spans="1:11" s="44" customFormat="1" ht="24" outlineLevel="1" x14ac:dyDescent="0.2">
      <c r="A1207" s="49" t="s">
        <v>1494</v>
      </c>
      <c r="B1207" s="108">
        <v>43256</v>
      </c>
      <c r="C1207" s="89">
        <v>43465</v>
      </c>
      <c r="D1207" s="159">
        <v>60</v>
      </c>
      <c r="E1207" s="123">
        <v>11249.61</v>
      </c>
      <c r="F1207" s="123">
        <v>32688.48</v>
      </c>
      <c r="G1207" s="123"/>
      <c r="H1207" s="33">
        <f t="shared" si="80"/>
        <v>43938.09</v>
      </c>
      <c r="I1207" s="43">
        <f t="shared" si="81"/>
        <v>43938.09</v>
      </c>
      <c r="J1207" s="102"/>
      <c r="K1207" s="71"/>
    </row>
    <row r="1208" spans="1:11" s="44" customFormat="1" ht="24" outlineLevel="1" x14ac:dyDescent="0.2">
      <c r="A1208" s="49" t="s">
        <v>1495</v>
      </c>
      <c r="B1208" s="108">
        <v>43269</v>
      </c>
      <c r="C1208" s="89">
        <v>43465</v>
      </c>
      <c r="D1208" s="159">
        <v>50</v>
      </c>
      <c r="E1208" s="123">
        <v>8532.5499999999993</v>
      </c>
      <c r="F1208" s="123">
        <v>1513.01</v>
      </c>
      <c r="G1208" s="123"/>
      <c r="H1208" s="33">
        <f t="shared" si="80"/>
        <v>10045.56</v>
      </c>
      <c r="I1208" s="43">
        <f t="shared" si="81"/>
        <v>10045.56</v>
      </c>
      <c r="J1208" s="102"/>
      <c r="K1208" s="71"/>
    </row>
    <row r="1209" spans="1:11" s="44" customFormat="1" ht="24" outlineLevel="1" x14ac:dyDescent="0.2">
      <c r="A1209" s="49" t="s">
        <v>1496</v>
      </c>
      <c r="B1209" s="108">
        <v>43343</v>
      </c>
      <c r="C1209" s="89">
        <v>43465</v>
      </c>
      <c r="D1209" s="159">
        <v>50</v>
      </c>
      <c r="E1209" s="123">
        <v>5719.5</v>
      </c>
      <c r="F1209" s="123"/>
      <c r="G1209" s="123"/>
      <c r="H1209" s="33">
        <f t="shared" si="80"/>
        <v>5719.5</v>
      </c>
      <c r="I1209" s="43">
        <f t="shared" si="81"/>
        <v>5719.5</v>
      </c>
      <c r="J1209" s="102"/>
      <c r="K1209" s="71"/>
    </row>
    <row r="1210" spans="1:11" s="44" customFormat="1" ht="24" outlineLevel="1" x14ac:dyDescent="0.2">
      <c r="A1210" s="49" t="s">
        <v>1497</v>
      </c>
      <c r="B1210" s="108">
        <v>43192</v>
      </c>
      <c r="C1210" s="89">
        <v>43465</v>
      </c>
      <c r="D1210" s="159">
        <v>50</v>
      </c>
      <c r="E1210" s="123">
        <v>20161.96</v>
      </c>
      <c r="F1210" s="123"/>
      <c r="G1210" s="123"/>
      <c r="H1210" s="33">
        <f t="shared" si="80"/>
        <v>20161.96</v>
      </c>
      <c r="I1210" s="43">
        <f t="shared" si="81"/>
        <v>20161.96</v>
      </c>
      <c r="J1210" s="102"/>
      <c r="K1210" s="71"/>
    </row>
    <row r="1211" spans="1:11" s="44" customFormat="1" outlineLevel="1" x14ac:dyDescent="0.2">
      <c r="A1211" s="49" t="s">
        <v>1498</v>
      </c>
      <c r="B1211" s="108">
        <v>43157</v>
      </c>
      <c r="C1211" s="89">
        <v>43465</v>
      </c>
      <c r="D1211" s="159">
        <v>60</v>
      </c>
      <c r="E1211" s="123">
        <v>13214.76</v>
      </c>
      <c r="F1211" s="123">
        <v>84820.18</v>
      </c>
      <c r="G1211" s="123"/>
      <c r="H1211" s="33">
        <f t="shared" si="80"/>
        <v>98034.939999999988</v>
      </c>
      <c r="I1211" s="43">
        <f t="shared" si="81"/>
        <v>98034.939999999988</v>
      </c>
      <c r="J1211" s="102"/>
      <c r="K1211" s="71"/>
    </row>
    <row r="1212" spans="1:11" s="44" customFormat="1" outlineLevel="1" x14ac:dyDescent="0.2">
      <c r="A1212" s="49" t="s">
        <v>1499</v>
      </c>
      <c r="B1212" s="108">
        <v>43206</v>
      </c>
      <c r="C1212" s="89">
        <v>43465</v>
      </c>
      <c r="D1212" s="159">
        <v>50</v>
      </c>
      <c r="E1212" s="123">
        <v>14158.51</v>
      </c>
      <c r="F1212" s="123"/>
      <c r="G1212" s="123"/>
      <c r="H1212" s="33">
        <f t="shared" si="80"/>
        <v>14158.51</v>
      </c>
      <c r="I1212" s="43">
        <f t="shared" si="81"/>
        <v>14158.51</v>
      </c>
      <c r="J1212" s="102"/>
      <c r="K1212" s="71"/>
    </row>
    <row r="1213" spans="1:11" s="44" customFormat="1" outlineLevel="1" x14ac:dyDescent="0.2">
      <c r="A1213" s="49" t="s">
        <v>1500</v>
      </c>
      <c r="B1213" s="108">
        <v>43189</v>
      </c>
      <c r="C1213" s="89">
        <v>43465</v>
      </c>
      <c r="D1213" s="159">
        <v>50</v>
      </c>
      <c r="E1213" s="123">
        <v>5719.5</v>
      </c>
      <c r="F1213" s="123"/>
      <c r="G1213" s="123"/>
      <c r="H1213" s="33">
        <f t="shared" si="80"/>
        <v>5719.5</v>
      </c>
      <c r="I1213" s="43">
        <f t="shared" si="81"/>
        <v>5719.5</v>
      </c>
      <c r="J1213" s="102"/>
      <c r="K1213" s="71"/>
    </row>
    <row r="1214" spans="1:11" s="44" customFormat="1" outlineLevel="1" x14ac:dyDescent="0.2">
      <c r="A1214" s="49" t="s">
        <v>1501</v>
      </c>
      <c r="B1214" s="108">
        <v>43265</v>
      </c>
      <c r="C1214" s="89">
        <v>43465</v>
      </c>
      <c r="D1214" s="159">
        <v>50</v>
      </c>
      <c r="E1214" s="123">
        <v>5719.5</v>
      </c>
      <c r="F1214" s="123"/>
      <c r="G1214" s="123"/>
      <c r="H1214" s="33">
        <f t="shared" si="80"/>
        <v>5719.5</v>
      </c>
      <c r="I1214" s="43">
        <f t="shared" si="81"/>
        <v>5719.5</v>
      </c>
      <c r="J1214" s="102"/>
      <c r="K1214" s="71"/>
    </row>
    <row r="1215" spans="1:11" s="44" customFormat="1" outlineLevel="1" x14ac:dyDescent="0.2">
      <c r="A1215" s="49" t="s">
        <v>1502</v>
      </c>
      <c r="B1215" s="108">
        <v>43286</v>
      </c>
      <c r="C1215" s="89">
        <v>43465</v>
      </c>
      <c r="D1215" s="159">
        <v>50</v>
      </c>
      <c r="E1215" s="123">
        <v>14498.59</v>
      </c>
      <c r="F1215" s="123"/>
      <c r="G1215" s="123"/>
      <c r="H1215" s="33">
        <f t="shared" si="80"/>
        <v>14498.59</v>
      </c>
      <c r="I1215" s="43">
        <f t="shared" si="81"/>
        <v>14498.59</v>
      </c>
      <c r="J1215" s="102"/>
      <c r="K1215" s="71"/>
    </row>
    <row r="1216" spans="1:11" s="44" customFormat="1" outlineLevel="1" x14ac:dyDescent="0.2">
      <c r="A1216" s="49" t="s">
        <v>1503</v>
      </c>
      <c r="B1216" s="108">
        <v>43270</v>
      </c>
      <c r="C1216" s="89">
        <v>43465</v>
      </c>
      <c r="D1216" s="159">
        <v>50</v>
      </c>
      <c r="E1216" s="123">
        <v>20161.96</v>
      </c>
      <c r="F1216" s="123"/>
      <c r="G1216" s="123"/>
      <c r="H1216" s="33">
        <f t="shared" si="80"/>
        <v>20161.96</v>
      </c>
      <c r="I1216" s="43">
        <f t="shared" si="81"/>
        <v>20161.96</v>
      </c>
      <c r="J1216" s="102"/>
      <c r="K1216" s="71"/>
    </row>
    <row r="1217" spans="1:11" s="44" customFormat="1" ht="24" outlineLevel="1" x14ac:dyDescent="0.2">
      <c r="A1217" s="49" t="s">
        <v>1504</v>
      </c>
      <c r="B1217" s="108">
        <v>43325</v>
      </c>
      <c r="C1217" s="89">
        <v>43465</v>
      </c>
      <c r="D1217" s="159">
        <v>50</v>
      </c>
      <c r="E1217" s="123">
        <v>8823.93</v>
      </c>
      <c r="F1217" s="123"/>
      <c r="G1217" s="123"/>
      <c r="H1217" s="33">
        <f t="shared" si="80"/>
        <v>8823.93</v>
      </c>
      <c r="I1217" s="43">
        <f t="shared" si="81"/>
        <v>8823.93</v>
      </c>
      <c r="J1217" s="102"/>
      <c r="K1217" s="71"/>
    </row>
    <row r="1218" spans="1:11" s="44" customFormat="1" outlineLevel="1" x14ac:dyDescent="0.2">
      <c r="A1218" s="49" t="s">
        <v>1505</v>
      </c>
      <c r="B1218" s="108">
        <v>43312</v>
      </c>
      <c r="C1218" s="89">
        <v>43465</v>
      </c>
      <c r="D1218" s="159">
        <v>50</v>
      </c>
      <c r="E1218" s="123">
        <v>20625</v>
      </c>
      <c r="F1218" s="123"/>
      <c r="G1218" s="123"/>
      <c r="H1218" s="33">
        <f t="shared" si="80"/>
        <v>20625</v>
      </c>
      <c r="I1218" s="43">
        <f t="shared" si="81"/>
        <v>20625</v>
      </c>
      <c r="J1218" s="102"/>
      <c r="K1218" s="71"/>
    </row>
    <row r="1219" spans="1:11" s="44" customFormat="1" outlineLevel="1" x14ac:dyDescent="0.2">
      <c r="A1219" s="49" t="s">
        <v>1506</v>
      </c>
      <c r="B1219" s="108">
        <v>43223</v>
      </c>
      <c r="C1219" s="89">
        <v>43465</v>
      </c>
      <c r="D1219" s="159">
        <v>50</v>
      </c>
      <c r="E1219" s="123">
        <v>11660.64</v>
      </c>
      <c r="F1219" s="123"/>
      <c r="G1219" s="123"/>
      <c r="H1219" s="33">
        <f t="shared" si="80"/>
        <v>11660.64</v>
      </c>
      <c r="I1219" s="43">
        <f t="shared" si="81"/>
        <v>11660.64</v>
      </c>
      <c r="J1219" s="102"/>
      <c r="K1219" s="71"/>
    </row>
    <row r="1220" spans="1:11" s="44" customFormat="1" ht="24" outlineLevel="1" x14ac:dyDescent="0.2">
      <c r="A1220" s="49" t="s">
        <v>1507</v>
      </c>
      <c r="B1220" s="108">
        <v>43200</v>
      </c>
      <c r="C1220" s="89">
        <v>43465</v>
      </c>
      <c r="D1220" s="159">
        <v>50</v>
      </c>
      <c r="E1220" s="123">
        <v>5915.32</v>
      </c>
      <c r="F1220" s="123"/>
      <c r="G1220" s="123"/>
      <c r="H1220" s="33">
        <f t="shared" si="80"/>
        <v>5915.32</v>
      </c>
      <c r="I1220" s="43">
        <f t="shared" si="81"/>
        <v>5915.32</v>
      </c>
      <c r="J1220" s="102"/>
      <c r="K1220" s="71"/>
    </row>
    <row r="1221" spans="1:11" s="44" customFormat="1" outlineLevel="1" x14ac:dyDescent="0.2">
      <c r="A1221" s="49" t="s">
        <v>1508</v>
      </c>
      <c r="B1221" s="108">
        <v>43138</v>
      </c>
      <c r="C1221" s="89">
        <v>43465</v>
      </c>
      <c r="D1221" s="159">
        <v>50</v>
      </c>
      <c r="E1221" s="123">
        <v>5537.5</v>
      </c>
      <c r="F1221" s="123"/>
      <c r="G1221" s="123"/>
      <c r="H1221" s="33">
        <f t="shared" si="80"/>
        <v>5537.5</v>
      </c>
      <c r="I1221" s="43">
        <f t="shared" si="81"/>
        <v>5537.5</v>
      </c>
      <c r="J1221" s="102"/>
      <c r="K1221" s="71"/>
    </row>
    <row r="1222" spans="1:11" s="44" customFormat="1" ht="24" outlineLevel="1" x14ac:dyDescent="0.2">
      <c r="A1222" s="49" t="s">
        <v>1509</v>
      </c>
      <c r="B1222" s="108">
        <v>43200</v>
      </c>
      <c r="C1222" s="89">
        <v>43465</v>
      </c>
      <c r="D1222" s="159">
        <v>50</v>
      </c>
      <c r="E1222" s="123">
        <v>5537.5</v>
      </c>
      <c r="F1222" s="123"/>
      <c r="G1222" s="123"/>
      <c r="H1222" s="33">
        <f t="shared" si="80"/>
        <v>5537.5</v>
      </c>
      <c r="I1222" s="43">
        <f t="shared" si="81"/>
        <v>5537.5</v>
      </c>
      <c r="J1222" s="102"/>
      <c r="K1222" s="71"/>
    </row>
    <row r="1223" spans="1:11" s="44" customFormat="1" ht="24" outlineLevel="1" x14ac:dyDescent="0.2">
      <c r="A1223" s="49" t="s">
        <v>1510</v>
      </c>
      <c r="B1223" s="108">
        <v>43200</v>
      </c>
      <c r="C1223" s="89">
        <v>43465</v>
      </c>
      <c r="D1223" s="159">
        <v>50</v>
      </c>
      <c r="E1223" s="123">
        <v>11660.65</v>
      </c>
      <c r="F1223" s="123"/>
      <c r="G1223" s="123"/>
      <c r="H1223" s="33">
        <f t="shared" si="80"/>
        <v>11660.65</v>
      </c>
      <c r="I1223" s="43">
        <f t="shared" si="81"/>
        <v>11660.65</v>
      </c>
      <c r="J1223" s="102"/>
      <c r="K1223" s="71"/>
    </row>
    <row r="1224" spans="1:11" s="44" customFormat="1" outlineLevel="1" x14ac:dyDescent="0.2">
      <c r="A1224" s="49" t="s">
        <v>1511</v>
      </c>
      <c r="B1224" s="108">
        <v>43244</v>
      </c>
      <c r="C1224" s="89">
        <v>43465</v>
      </c>
      <c r="D1224" s="159">
        <v>50</v>
      </c>
      <c r="E1224" s="123">
        <v>5537.5</v>
      </c>
      <c r="F1224" s="123"/>
      <c r="G1224" s="123"/>
      <c r="H1224" s="33">
        <f t="shared" si="80"/>
        <v>5537.5</v>
      </c>
      <c r="I1224" s="43">
        <f t="shared" si="81"/>
        <v>5537.5</v>
      </c>
      <c r="J1224" s="102"/>
      <c r="K1224" s="71"/>
    </row>
    <row r="1225" spans="1:11" s="44" customFormat="1" ht="24" outlineLevel="1" x14ac:dyDescent="0.2">
      <c r="A1225" s="49" t="s">
        <v>1512</v>
      </c>
      <c r="B1225" s="108">
        <v>43062</v>
      </c>
      <c r="C1225" s="89">
        <v>43465</v>
      </c>
      <c r="D1225" s="159">
        <v>50</v>
      </c>
      <c r="E1225" s="123">
        <v>17491</v>
      </c>
      <c r="F1225" s="123"/>
      <c r="G1225" s="123"/>
      <c r="H1225" s="33">
        <f t="shared" si="80"/>
        <v>17491</v>
      </c>
      <c r="I1225" s="43">
        <f t="shared" si="81"/>
        <v>17491</v>
      </c>
      <c r="J1225" s="102"/>
      <c r="K1225" s="71"/>
    </row>
    <row r="1226" spans="1:11" s="44" customFormat="1" outlineLevel="1" x14ac:dyDescent="0.2">
      <c r="A1226" s="49" t="s">
        <v>1513</v>
      </c>
      <c r="B1226" s="108">
        <v>43237</v>
      </c>
      <c r="C1226" s="89">
        <v>43465</v>
      </c>
      <c r="D1226" s="159">
        <v>50</v>
      </c>
      <c r="E1226" s="123">
        <v>11098.57</v>
      </c>
      <c r="F1226" s="123"/>
      <c r="G1226" s="123"/>
      <c r="H1226" s="33">
        <f t="shared" si="80"/>
        <v>11098.57</v>
      </c>
      <c r="I1226" s="43">
        <f t="shared" si="81"/>
        <v>11098.57</v>
      </c>
      <c r="J1226" s="102"/>
      <c r="K1226" s="71"/>
    </row>
    <row r="1227" spans="1:11" s="44" customFormat="1" outlineLevel="1" x14ac:dyDescent="0.2">
      <c r="A1227" s="49" t="s">
        <v>1514</v>
      </c>
      <c r="B1227" s="108">
        <v>43187</v>
      </c>
      <c r="C1227" s="89">
        <v>43465</v>
      </c>
      <c r="D1227" s="159">
        <v>50</v>
      </c>
      <c r="E1227" s="123">
        <v>2717.06</v>
      </c>
      <c r="F1227" s="123"/>
      <c r="G1227" s="123"/>
      <c r="H1227" s="33">
        <f t="shared" si="80"/>
        <v>2717.06</v>
      </c>
      <c r="I1227" s="43">
        <f t="shared" si="81"/>
        <v>2717.06</v>
      </c>
      <c r="J1227" s="102"/>
      <c r="K1227" s="71"/>
    </row>
    <row r="1228" spans="1:11" s="44" customFormat="1" ht="24" outlineLevel="1" x14ac:dyDescent="0.2">
      <c r="A1228" s="49" t="s">
        <v>1515</v>
      </c>
      <c r="B1228" s="108">
        <v>43253</v>
      </c>
      <c r="C1228" s="89">
        <v>43465</v>
      </c>
      <c r="D1228" s="159">
        <v>50</v>
      </c>
      <c r="E1228" s="123">
        <v>11309.8</v>
      </c>
      <c r="F1228" s="123"/>
      <c r="G1228" s="123"/>
      <c r="H1228" s="33">
        <f t="shared" si="80"/>
        <v>11309.8</v>
      </c>
      <c r="I1228" s="43">
        <f t="shared" si="81"/>
        <v>11309.8</v>
      </c>
      <c r="J1228" s="102"/>
      <c r="K1228" s="71"/>
    </row>
    <row r="1229" spans="1:11" s="44" customFormat="1" outlineLevel="1" x14ac:dyDescent="0.2">
      <c r="A1229" s="49" t="s">
        <v>1516</v>
      </c>
      <c r="B1229" s="108">
        <v>43270</v>
      </c>
      <c r="C1229" s="89">
        <v>43465</v>
      </c>
      <c r="D1229" s="159">
        <v>50</v>
      </c>
      <c r="E1229" s="123">
        <v>6674</v>
      </c>
      <c r="F1229" s="123"/>
      <c r="G1229" s="123"/>
      <c r="H1229" s="33">
        <f t="shared" si="80"/>
        <v>6674</v>
      </c>
      <c r="I1229" s="43">
        <f t="shared" si="81"/>
        <v>6674</v>
      </c>
      <c r="J1229" s="102"/>
      <c r="K1229" s="71"/>
    </row>
    <row r="1230" spans="1:11" s="44" customFormat="1" ht="24" outlineLevel="1" x14ac:dyDescent="0.2">
      <c r="A1230" s="49" t="s">
        <v>1517</v>
      </c>
      <c r="B1230" s="108">
        <v>43270</v>
      </c>
      <c r="C1230" s="89">
        <v>43465</v>
      </c>
      <c r="D1230" s="159">
        <v>50</v>
      </c>
      <c r="E1230" s="123">
        <v>6674</v>
      </c>
      <c r="F1230" s="123"/>
      <c r="G1230" s="123"/>
      <c r="H1230" s="33">
        <f t="shared" si="80"/>
        <v>6674</v>
      </c>
      <c r="I1230" s="43">
        <f t="shared" si="81"/>
        <v>6674</v>
      </c>
      <c r="J1230" s="102"/>
      <c r="K1230" s="71"/>
    </row>
    <row r="1231" spans="1:11" s="44" customFormat="1" outlineLevel="1" x14ac:dyDescent="0.2">
      <c r="A1231" s="49" t="s">
        <v>1518</v>
      </c>
      <c r="B1231" s="108">
        <v>43371</v>
      </c>
      <c r="C1231" s="89">
        <v>43465</v>
      </c>
      <c r="D1231" s="159">
        <v>50</v>
      </c>
      <c r="E1231" s="123">
        <v>6674</v>
      </c>
      <c r="F1231" s="123"/>
      <c r="G1231" s="123"/>
      <c r="H1231" s="33">
        <f t="shared" si="80"/>
        <v>6674</v>
      </c>
      <c r="I1231" s="43">
        <f t="shared" si="81"/>
        <v>6674</v>
      </c>
      <c r="J1231" s="102"/>
      <c r="K1231" s="71"/>
    </row>
    <row r="1232" spans="1:11" s="44" customFormat="1" ht="24" outlineLevel="1" x14ac:dyDescent="0.2">
      <c r="A1232" s="49" t="s">
        <v>1519</v>
      </c>
      <c r="B1232" s="108">
        <v>43259</v>
      </c>
      <c r="C1232" s="89">
        <v>43465</v>
      </c>
      <c r="D1232" s="159">
        <v>50</v>
      </c>
      <c r="E1232" s="123">
        <v>6674</v>
      </c>
      <c r="F1232" s="123"/>
      <c r="G1232" s="123"/>
      <c r="H1232" s="33">
        <f t="shared" si="80"/>
        <v>6674</v>
      </c>
      <c r="I1232" s="43">
        <f t="shared" si="81"/>
        <v>6674</v>
      </c>
      <c r="J1232" s="102"/>
      <c r="K1232" s="71"/>
    </row>
    <row r="1233" spans="1:11" s="44" customFormat="1" ht="24" outlineLevel="1" x14ac:dyDescent="0.2">
      <c r="A1233" s="49" t="s">
        <v>1520</v>
      </c>
      <c r="B1233" s="108">
        <v>43259</v>
      </c>
      <c r="C1233" s="89">
        <v>43465</v>
      </c>
      <c r="D1233" s="159">
        <v>50</v>
      </c>
      <c r="E1233" s="123">
        <v>6674</v>
      </c>
      <c r="F1233" s="123"/>
      <c r="G1233" s="123"/>
      <c r="H1233" s="33">
        <f t="shared" ref="H1233:H1294" si="82">E1233+F1233+G1233</f>
        <v>6674</v>
      </c>
      <c r="I1233" s="43">
        <f t="shared" ref="I1233:I1294" si="83">H1233</f>
        <v>6674</v>
      </c>
      <c r="J1233" s="102"/>
      <c r="K1233" s="71"/>
    </row>
    <row r="1234" spans="1:11" s="44" customFormat="1" outlineLevel="1" x14ac:dyDescent="0.2">
      <c r="A1234" s="49" t="s">
        <v>1521</v>
      </c>
      <c r="B1234" s="108"/>
      <c r="C1234" s="89">
        <v>43465</v>
      </c>
      <c r="D1234" s="159">
        <v>50</v>
      </c>
      <c r="E1234" s="123">
        <v>6674</v>
      </c>
      <c r="F1234" s="123"/>
      <c r="G1234" s="123"/>
      <c r="H1234" s="33">
        <f t="shared" si="82"/>
        <v>6674</v>
      </c>
      <c r="I1234" s="43">
        <f t="shared" si="83"/>
        <v>6674</v>
      </c>
      <c r="J1234" s="102"/>
      <c r="K1234" s="71"/>
    </row>
    <row r="1235" spans="1:11" s="44" customFormat="1" outlineLevel="1" x14ac:dyDescent="0.2">
      <c r="A1235" s="49" t="s">
        <v>1522</v>
      </c>
      <c r="B1235" s="108">
        <v>43260</v>
      </c>
      <c r="C1235" s="89">
        <v>43465</v>
      </c>
      <c r="D1235" s="159">
        <v>50</v>
      </c>
      <c r="E1235" s="123">
        <v>6674</v>
      </c>
      <c r="F1235" s="123"/>
      <c r="G1235" s="123"/>
      <c r="H1235" s="33">
        <f t="shared" si="82"/>
        <v>6674</v>
      </c>
      <c r="I1235" s="43">
        <f t="shared" si="83"/>
        <v>6674</v>
      </c>
      <c r="J1235" s="102"/>
      <c r="K1235" s="71"/>
    </row>
    <row r="1236" spans="1:11" s="44" customFormat="1" ht="24" outlineLevel="1" x14ac:dyDescent="0.2">
      <c r="A1236" s="49" t="s">
        <v>1523</v>
      </c>
      <c r="B1236" s="108">
        <v>43258</v>
      </c>
      <c r="C1236" s="89">
        <v>43465</v>
      </c>
      <c r="D1236" s="159">
        <v>40</v>
      </c>
      <c r="E1236" s="123"/>
      <c r="F1236" s="123">
        <v>1513.01</v>
      </c>
      <c r="G1236" s="123"/>
      <c r="H1236" s="33">
        <f t="shared" si="82"/>
        <v>1513.01</v>
      </c>
      <c r="I1236" s="43">
        <f t="shared" si="83"/>
        <v>1513.01</v>
      </c>
      <c r="J1236" s="102"/>
      <c r="K1236" s="71"/>
    </row>
    <row r="1237" spans="1:11" s="44" customFormat="1" ht="24" outlineLevel="1" x14ac:dyDescent="0.2">
      <c r="A1237" s="49" t="s">
        <v>1524</v>
      </c>
      <c r="B1237" s="108">
        <v>43294</v>
      </c>
      <c r="C1237" s="89">
        <v>43465</v>
      </c>
      <c r="D1237" s="159">
        <v>99</v>
      </c>
      <c r="E1237" s="123">
        <v>8541.01</v>
      </c>
      <c r="F1237" s="123">
        <v>41918.47</v>
      </c>
      <c r="G1237" s="123"/>
      <c r="H1237" s="33">
        <f t="shared" si="82"/>
        <v>50459.48</v>
      </c>
      <c r="I1237" s="43">
        <f t="shared" si="83"/>
        <v>50459.48</v>
      </c>
      <c r="J1237" s="102"/>
      <c r="K1237" s="71"/>
    </row>
    <row r="1238" spans="1:11" s="44" customFormat="1" ht="24" outlineLevel="1" x14ac:dyDescent="0.2">
      <c r="A1238" s="49" t="s">
        <v>1525</v>
      </c>
      <c r="B1238" s="108">
        <v>43284</v>
      </c>
      <c r="C1238" s="89">
        <v>43465</v>
      </c>
      <c r="D1238" s="159">
        <v>50</v>
      </c>
      <c r="E1238" s="123">
        <v>8708.7900000000009</v>
      </c>
      <c r="F1238" s="123"/>
      <c r="G1238" s="123"/>
      <c r="H1238" s="33">
        <f t="shared" si="82"/>
        <v>8708.7900000000009</v>
      </c>
      <c r="I1238" s="43">
        <f t="shared" si="83"/>
        <v>8708.7900000000009</v>
      </c>
      <c r="J1238" s="102"/>
      <c r="K1238" s="71"/>
    </row>
    <row r="1239" spans="1:11" s="44" customFormat="1" ht="24" outlineLevel="1" x14ac:dyDescent="0.2">
      <c r="A1239" s="49" t="s">
        <v>1526</v>
      </c>
      <c r="B1239" s="108">
        <v>43287</v>
      </c>
      <c r="C1239" s="89">
        <v>43465</v>
      </c>
      <c r="D1239" s="159">
        <v>50</v>
      </c>
      <c r="E1239" s="123">
        <v>8779.09</v>
      </c>
      <c r="F1239" s="123"/>
      <c r="G1239" s="123"/>
      <c r="H1239" s="33">
        <f t="shared" si="82"/>
        <v>8779.09</v>
      </c>
      <c r="I1239" s="43">
        <f t="shared" si="83"/>
        <v>8779.09</v>
      </c>
      <c r="J1239" s="102"/>
      <c r="K1239" s="71"/>
    </row>
    <row r="1240" spans="1:11" s="44" customFormat="1" ht="24" outlineLevel="1" x14ac:dyDescent="0.2">
      <c r="A1240" s="49" t="s">
        <v>1527</v>
      </c>
      <c r="B1240" s="108">
        <v>43291</v>
      </c>
      <c r="C1240" s="89">
        <v>43465</v>
      </c>
      <c r="D1240" s="159">
        <v>50</v>
      </c>
      <c r="E1240" s="123">
        <v>8779.09</v>
      </c>
      <c r="F1240" s="123"/>
      <c r="G1240" s="123"/>
      <c r="H1240" s="33">
        <f t="shared" si="82"/>
        <v>8779.09</v>
      </c>
      <c r="I1240" s="43">
        <f t="shared" si="83"/>
        <v>8779.09</v>
      </c>
      <c r="J1240" s="102"/>
      <c r="K1240" s="71"/>
    </row>
    <row r="1241" spans="1:11" s="44" customFormat="1" ht="24" outlineLevel="1" x14ac:dyDescent="0.2">
      <c r="A1241" s="49" t="s">
        <v>1528</v>
      </c>
      <c r="B1241" s="108">
        <v>43227</v>
      </c>
      <c r="C1241" s="89">
        <v>43465</v>
      </c>
      <c r="D1241" s="159">
        <v>50</v>
      </c>
      <c r="E1241" s="123">
        <v>14918.33</v>
      </c>
      <c r="F1241" s="123"/>
      <c r="G1241" s="123"/>
      <c r="H1241" s="33">
        <f t="shared" si="82"/>
        <v>14918.33</v>
      </c>
      <c r="I1241" s="43">
        <f t="shared" si="83"/>
        <v>14918.33</v>
      </c>
      <c r="J1241" s="102"/>
      <c r="K1241" s="71"/>
    </row>
    <row r="1242" spans="1:11" s="44" customFormat="1" outlineLevel="1" x14ac:dyDescent="0.2">
      <c r="A1242" s="49" t="s">
        <v>1529</v>
      </c>
      <c r="B1242" s="108">
        <v>43304</v>
      </c>
      <c r="C1242" s="89">
        <v>43465</v>
      </c>
      <c r="D1242" s="159">
        <v>50</v>
      </c>
      <c r="E1242" s="123">
        <v>8779.09</v>
      </c>
      <c r="F1242" s="123"/>
      <c r="G1242" s="123"/>
      <c r="H1242" s="33">
        <f t="shared" si="82"/>
        <v>8779.09</v>
      </c>
      <c r="I1242" s="43">
        <f t="shared" si="83"/>
        <v>8779.09</v>
      </c>
      <c r="J1242" s="102"/>
      <c r="K1242" s="71"/>
    </row>
    <row r="1243" spans="1:11" s="44" customFormat="1" outlineLevel="1" x14ac:dyDescent="0.2">
      <c r="A1243" s="49" t="s">
        <v>1530</v>
      </c>
      <c r="B1243" s="108">
        <v>43300</v>
      </c>
      <c r="C1243" s="89">
        <v>43465</v>
      </c>
      <c r="D1243" s="159">
        <v>50</v>
      </c>
      <c r="E1243" s="123">
        <v>8758.26</v>
      </c>
      <c r="F1243" s="123"/>
      <c r="G1243" s="123"/>
      <c r="H1243" s="33">
        <f t="shared" si="82"/>
        <v>8758.26</v>
      </c>
      <c r="I1243" s="43">
        <f t="shared" si="83"/>
        <v>8758.26</v>
      </c>
      <c r="J1243" s="102"/>
      <c r="K1243" s="71"/>
    </row>
    <row r="1244" spans="1:11" s="44" customFormat="1" outlineLevel="1" x14ac:dyDescent="0.2">
      <c r="A1244" s="49" t="s">
        <v>1531</v>
      </c>
      <c r="B1244" s="108">
        <v>43277</v>
      </c>
      <c r="C1244" s="89">
        <v>43465</v>
      </c>
      <c r="D1244" s="159">
        <v>50</v>
      </c>
      <c r="E1244" s="123">
        <v>8758.26</v>
      </c>
      <c r="F1244" s="123"/>
      <c r="G1244" s="123"/>
      <c r="H1244" s="33">
        <f t="shared" si="82"/>
        <v>8758.26</v>
      </c>
      <c r="I1244" s="43">
        <f t="shared" si="83"/>
        <v>8758.26</v>
      </c>
      <c r="J1244" s="102"/>
      <c r="K1244" s="71"/>
    </row>
    <row r="1245" spans="1:11" s="44" customFormat="1" ht="24" outlineLevel="1" x14ac:dyDescent="0.2">
      <c r="A1245" s="49" t="s">
        <v>1532</v>
      </c>
      <c r="B1245" s="108">
        <v>43301</v>
      </c>
      <c r="C1245" s="89">
        <v>43465</v>
      </c>
      <c r="D1245" s="159">
        <v>50</v>
      </c>
      <c r="E1245" s="123">
        <v>8541.01</v>
      </c>
      <c r="F1245" s="123"/>
      <c r="G1245" s="123"/>
      <c r="H1245" s="33">
        <f t="shared" si="82"/>
        <v>8541.01</v>
      </c>
      <c r="I1245" s="43">
        <f t="shared" si="83"/>
        <v>8541.01</v>
      </c>
      <c r="J1245" s="102"/>
      <c r="K1245" s="71"/>
    </row>
    <row r="1246" spans="1:11" s="44" customFormat="1" ht="24" outlineLevel="1" x14ac:dyDescent="0.2">
      <c r="A1246" s="49" t="s">
        <v>1533</v>
      </c>
      <c r="B1246" s="108">
        <v>43125</v>
      </c>
      <c r="C1246" s="89">
        <v>43465</v>
      </c>
      <c r="D1246" s="159">
        <v>60</v>
      </c>
      <c r="E1246" s="123">
        <v>8541.01</v>
      </c>
      <c r="F1246" s="123">
        <v>51775.3</v>
      </c>
      <c r="G1246" s="123"/>
      <c r="H1246" s="33">
        <f t="shared" si="82"/>
        <v>60316.310000000005</v>
      </c>
      <c r="I1246" s="43">
        <f t="shared" si="83"/>
        <v>60316.310000000005</v>
      </c>
      <c r="J1246" s="102"/>
      <c r="K1246" s="71"/>
    </row>
    <row r="1247" spans="1:11" s="44" customFormat="1" outlineLevel="1" x14ac:dyDescent="0.2">
      <c r="A1247" s="49" t="s">
        <v>1534</v>
      </c>
      <c r="B1247" s="108">
        <v>43201</v>
      </c>
      <c r="C1247" s="89">
        <v>43465</v>
      </c>
      <c r="D1247" s="159">
        <v>50</v>
      </c>
      <c r="E1247" s="123">
        <v>8541.01</v>
      </c>
      <c r="F1247" s="123"/>
      <c r="G1247" s="123"/>
      <c r="H1247" s="33">
        <f t="shared" si="82"/>
        <v>8541.01</v>
      </c>
      <c r="I1247" s="43">
        <f t="shared" si="83"/>
        <v>8541.01</v>
      </c>
      <c r="J1247" s="102"/>
      <c r="K1247" s="71"/>
    </row>
    <row r="1248" spans="1:11" s="44" customFormat="1" outlineLevel="1" x14ac:dyDescent="0.2">
      <c r="A1248" s="49" t="s">
        <v>1535</v>
      </c>
      <c r="B1248" s="108">
        <v>43326</v>
      </c>
      <c r="C1248" s="89">
        <v>43465</v>
      </c>
      <c r="D1248" s="159">
        <v>50</v>
      </c>
      <c r="E1248" s="123">
        <v>8541.01</v>
      </c>
      <c r="F1248" s="123"/>
      <c r="G1248" s="123"/>
      <c r="H1248" s="33">
        <f t="shared" si="82"/>
        <v>8541.01</v>
      </c>
      <c r="I1248" s="43">
        <f t="shared" si="83"/>
        <v>8541.01</v>
      </c>
      <c r="J1248" s="102"/>
      <c r="K1248" s="71"/>
    </row>
    <row r="1249" spans="1:11" s="44" customFormat="1" outlineLevel="1" x14ac:dyDescent="0.2">
      <c r="A1249" s="49" t="s">
        <v>1536</v>
      </c>
      <c r="B1249" s="108">
        <v>43287</v>
      </c>
      <c r="C1249" s="89">
        <v>43465</v>
      </c>
      <c r="D1249" s="159">
        <v>50</v>
      </c>
      <c r="E1249" s="123">
        <v>8541.01</v>
      </c>
      <c r="F1249" s="123"/>
      <c r="G1249" s="123"/>
      <c r="H1249" s="33">
        <f t="shared" si="82"/>
        <v>8541.01</v>
      </c>
      <c r="I1249" s="43">
        <f t="shared" si="83"/>
        <v>8541.01</v>
      </c>
      <c r="J1249" s="102"/>
      <c r="K1249" s="71"/>
    </row>
    <row r="1250" spans="1:11" s="44" customFormat="1" outlineLevel="1" x14ac:dyDescent="0.2">
      <c r="A1250" s="49" t="s">
        <v>1537</v>
      </c>
      <c r="B1250" s="108">
        <v>43297</v>
      </c>
      <c r="C1250" s="89">
        <v>43465</v>
      </c>
      <c r="D1250" s="159">
        <v>70</v>
      </c>
      <c r="E1250" s="123">
        <v>8541.01</v>
      </c>
      <c r="F1250" s="123">
        <v>29901.93</v>
      </c>
      <c r="G1250" s="123"/>
      <c r="H1250" s="33">
        <f t="shared" si="82"/>
        <v>38442.94</v>
      </c>
      <c r="I1250" s="43">
        <f t="shared" si="83"/>
        <v>38442.94</v>
      </c>
      <c r="J1250" s="102"/>
      <c r="K1250" s="71"/>
    </row>
    <row r="1251" spans="1:11" s="44" customFormat="1" outlineLevel="1" x14ac:dyDescent="0.2">
      <c r="A1251" s="49" t="s">
        <v>1538</v>
      </c>
      <c r="B1251" s="108">
        <v>43290</v>
      </c>
      <c r="C1251" s="89">
        <v>43465</v>
      </c>
      <c r="D1251" s="159">
        <v>50</v>
      </c>
      <c r="E1251" s="123">
        <v>8541.01</v>
      </c>
      <c r="F1251" s="123"/>
      <c r="G1251" s="123"/>
      <c r="H1251" s="33">
        <f t="shared" si="82"/>
        <v>8541.01</v>
      </c>
      <c r="I1251" s="43">
        <f t="shared" si="83"/>
        <v>8541.01</v>
      </c>
      <c r="J1251" s="102"/>
      <c r="K1251" s="71"/>
    </row>
    <row r="1252" spans="1:11" s="44" customFormat="1" ht="24" outlineLevel="1" x14ac:dyDescent="0.2">
      <c r="A1252" s="49" t="s">
        <v>1539</v>
      </c>
      <c r="B1252" s="108">
        <v>43311</v>
      </c>
      <c r="C1252" s="89">
        <v>43465</v>
      </c>
      <c r="D1252" s="159">
        <v>50</v>
      </c>
      <c r="E1252" s="123">
        <v>8541.01</v>
      </c>
      <c r="F1252" s="123"/>
      <c r="G1252" s="123"/>
      <c r="H1252" s="33">
        <f t="shared" si="82"/>
        <v>8541.01</v>
      </c>
      <c r="I1252" s="43">
        <f t="shared" si="83"/>
        <v>8541.01</v>
      </c>
      <c r="J1252" s="102"/>
      <c r="K1252" s="71"/>
    </row>
    <row r="1253" spans="1:11" s="44" customFormat="1" outlineLevel="1" x14ac:dyDescent="0.2">
      <c r="A1253" s="49" t="s">
        <v>1540</v>
      </c>
      <c r="B1253" s="108">
        <v>43304</v>
      </c>
      <c r="C1253" s="89">
        <v>43465</v>
      </c>
      <c r="D1253" s="159">
        <v>70</v>
      </c>
      <c r="E1253" s="123">
        <v>9876.0400000000009</v>
      </c>
      <c r="F1253" s="123">
        <v>52437.04</v>
      </c>
      <c r="G1253" s="123"/>
      <c r="H1253" s="33">
        <f t="shared" si="82"/>
        <v>62313.08</v>
      </c>
      <c r="I1253" s="43">
        <f t="shared" si="83"/>
        <v>62313.08</v>
      </c>
      <c r="J1253" s="102"/>
      <c r="K1253" s="71"/>
    </row>
    <row r="1254" spans="1:11" s="44" customFormat="1" ht="24" outlineLevel="1" x14ac:dyDescent="0.2">
      <c r="A1254" s="49" t="s">
        <v>1541</v>
      </c>
      <c r="B1254" s="108">
        <v>43259</v>
      </c>
      <c r="C1254" s="89">
        <v>43465</v>
      </c>
      <c r="D1254" s="159">
        <v>50</v>
      </c>
      <c r="E1254" s="123">
        <v>5105.26</v>
      </c>
      <c r="F1254" s="123"/>
      <c r="G1254" s="123"/>
      <c r="H1254" s="33">
        <f t="shared" si="82"/>
        <v>5105.26</v>
      </c>
      <c r="I1254" s="43">
        <f t="shared" si="83"/>
        <v>5105.26</v>
      </c>
      <c r="J1254" s="102"/>
      <c r="K1254" s="71"/>
    </row>
    <row r="1255" spans="1:11" s="44" customFormat="1" outlineLevel="1" x14ac:dyDescent="0.2">
      <c r="A1255" s="49" t="s">
        <v>1542</v>
      </c>
      <c r="B1255" s="108">
        <v>43076</v>
      </c>
      <c r="C1255" s="89">
        <v>43465</v>
      </c>
      <c r="D1255" s="159">
        <v>50</v>
      </c>
      <c r="E1255" s="123">
        <v>9876.0400000000009</v>
      </c>
      <c r="F1255" s="123"/>
      <c r="G1255" s="123"/>
      <c r="H1255" s="33">
        <f t="shared" si="82"/>
        <v>9876.0400000000009</v>
      </c>
      <c r="I1255" s="43">
        <f t="shared" si="83"/>
        <v>9876.0400000000009</v>
      </c>
      <c r="J1255" s="102"/>
      <c r="K1255" s="71"/>
    </row>
    <row r="1256" spans="1:11" s="44" customFormat="1" ht="24" outlineLevel="1" x14ac:dyDescent="0.2">
      <c r="A1256" s="49" t="s">
        <v>1543</v>
      </c>
      <c r="B1256" s="108">
        <v>43328</v>
      </c>
      <c r="C1256" s="89">
        <v>43465</v>
      </c>
      <c r="D1256" s="159">
        <v>50</v>
      </c>
      <c r="E1256" s="123">
        <v>8556.57</v>
      </c>
      <c r="F1256" s="123"/>
      <c r="G1256" s="123"/>
      <c r="H1256" s="33">
        <f t="shared" si="82"/>
        <v>8556.57</v>
      </c>
      <c r="I1256" s="43">
        <f t="shared" si="83"/>
        <v>8556.57</v>
      </c>
      <c r="J1256" s="102"/>
      <c r="K1256" s="71"/>
    </row>
    <row r="1257" spans="1:11" s="44" customFormat="1" outlineLevel="1" x14ac:dyDescent="0.2">
      <c r="A1257" s="49" t="s">
        <v>1544</v>
      </c>
      <c r="B1257" s="108">
        <v>43300</v>
      </c>
      <c r="C1257" s="89">
        <v>43465</v>
      </c>
      <c r="D1257" s="159">
        <v>50</v>
      </c>
      <c r="E1257" s="123">
        <v>5105.26</v>
      </c>
      <c r="F1257" s="123"/>
      <c r="G1257" s="123"/>
      <c r="H1257" s="33">
        <f t="shared" si="82"/>
        <v>5105.26</v>
      </c>
      <c r="I1257" s="43">
        <f t="shared" si="83"/>
        <v>5105.26</v>
      </c>
      <c r="J1257" s="102"/>
      <c r="K1257" s="71"/>
    </row>
    <row r="1258" spans="1:11" s="44" customFormat="1" outlineLevel="1" x14ac:dyDescent="0.2">
      <c r="A1258" s="49" t="s">
        <v>1545</v>
      </c>
      <c r="B1258" s="108">
        <v>43272</v>
      </c>
      <c r="C1258" s="89">
        <v>43465</v>
      </c>
      <c r="D1258" s="159">
        <v>50</v>
      </c>
      <c r="E1258" s="123">
        <v>8758.26</v>
      </c>
      <c r="F1258" s="123"/>
      <c r="G1258" s="123"/>
      <c r="H1258" s="33">
        <f t="shared" si="82"/>
        <v>8758.26</v>
      </c>
      <c r="I1258" s="43">
        <f t="shared" si="83"/>
        <v>8758.26</v>
      </c>
      <c r="J1258" s="102"/>
      <c r="K1258" s="71"/>
    </row>
    <row r="1259" spans="1:11" s="44" customFormat="1" outlineLevel="1" x14ac:dyDescent="0.2">
      <c r="A1259" s="49" t="s">
        <v>1546</v>
      </c>
      <c r="B1259" s="108">
        <v>43311</v>
      </c>
      <c r="C1259" s="89">
        <v>43465</v>
      </c>
      <c r="D1259" s="159">
        <v>50</v>
      </c>
      <c r="E1259" s="123">
        <v>8541.01</v>
      </c>
      <c r="F1259" s="123"/>
      <c r="G1259" s="123"/>
      <c r="H1259" s="33">
        <f t="shared" si="82"/>
        <v>8541.01</v>
      </c>
      <c r="I1259" s="43">
        <f t="shared" si="83"/>
        <v>8541.01</v>
      </c>
      <c r="J1259" s="102"/>
      <c r="K1259" s="71"/>
    </row>
    <row r="1260" spans="1:11" s="44" customFormat="1" ht="24" outlineLevel="1" x14ac:dyDescent="0.2">
      <c r="A1260" s="49" t="s">
        <v>1547</v>
      </c>
      <c r="B1260" s="108">
        <v>43373</v>
      </c>
      <c r="C1260" s="89">
        <v>43465</v>
      </c>
      <c r="D1260" s="159">
        <v>50</v>
      </c>
      <c r="E1260" s="123">
        <v>8708.73</v>
      </c>
      <c r="F1260" s="123"/>
      <c r="G1260" s="123"/>
      <c r="H1260" s="33">
        <f t="shared" si="82"/>
        <v>8708.73</v>
      </c>
      <c r="I1260" s="43">
        <f t="shared" si="83"/>
        <v>8708.73</v>
      </c>
      <c r="J1260" s="102"/>
      <c r="K1260" s="71"/>
    </row>
    <row r="1261" spans="1:11" s="44" customFormat="1" ht="24" outlineLevel="1" x14ac:dyDescent="0.2">
      <c r="A1261" s="49" t="s">
        <v>1548</v>
      </c>
      <c r="B1261" s="108">
        <v>43353</v>
      </c>
      <c r="C1261" s="89">
        <v>43465</v>
      </c>
      <c r="D1261" s="159">
        <v>50</v>
      </c>
      <c r="E1261" s="123">
        <v>8439.01</v>
      </c>
      <c r="F1261" s="123"/>
      <c r="G1261" s="123"/>
      <c r="H1261" s="33">
        <f t="shared" si="82"/>
        <v>8439.01</v>
      </c>
      <c r="I1261" s="43">
        <f t="shared" si="83"/>
        <v>8439.01</v>
      </c>
      <c r="J1261" s="102"/>
      <c r="K1261" s="71"/>
    </row>
    <row r="1262" spans="1:11" s="44" customFormat="1" ht="24" outlineLevel="1" x14ac:dyDescent="0.2">
      <c r="A1262" s="49" t="s">
        <v>1549</v>
      </c>
      <c r="B1262" s="108">
        <v>43311</v>
      </c>
      <c r="C1262" s="89">
        <v>43465</v>
      </c>
      <c r="D1262" s="159">
        <v>50</v>
      </c>
      <c r="E1262" s="123">
        <v>8439.01</v>
      </c>
      <c r="F1262" s="123"/>
      <c r="G1262" s="123"/>
      <c r="H1262" s="33">
        <f t="shared" si="82"/>
        <v>8439.01</v>
      </c>
      <c r="I1262" s="43">
        <f t="shared" si="83"/>
        <v>8439.01</v>
      </c>
      <c r="J1262" s="102"/>
      <c r="K1262" s="71"/>
    </row>
    <row r="1263" spans="1:11" s="44" customFormat="1" ht="24" outlineLevel="1" x14ac:dyDescent="0.2">
      <c r="A1263" s="49" t="s">
        <v>1550</v>
      </c>
      <c r="B1263" s="108">
        <v>43311</v>
      </c>
      <c r="C1263" s="89">
        <v>43465</v>
      </c>
      <c r="D1263" s="159">
        <v>50</v>
      </c>
      <c r="E1263" s="123">
        <v>8439.01</v>
      </c>
      <c r="F1263" s="123"/>
      <c r="G1263" s="123"/>
      <c r="H1263" s="33">
        <f t="shared" si="82"/>
        <v>8439.01</v>
      </c>
      <c r="I1263" s="43">
        <f t="shared" si="83"/>
        <v>8439.01</v>
      </c>
      <c r="J1263" s="102"/>
      <c r="K1263" s="71"/>
    </row>
    <row r="1264" spans="1:11" s="44" customFormat="1" outlineLevel="1" x14ac:dyDescent="0.2">
      <c r="A1264" s="49" t="s">
        <v>1551</v>
      </c>
      <c r="B1264" s="108">
        <v>43311</v>
      </c>
      <c r="C1264" s="89">
        <v>43465</v>
      </c>
      <c r="D1264" s="159">
        <v>50</v>
      </c>
      <c r="E1264" s="123">
        <v>8439.01</v>
      </c>
      <c r="F1264" s="123"/>
      <c r="G1264" s="123"/>
      <c r="H1264" s="33">
        <f t="shared" si="82"/>
        <v>8439.01</v>
      </c>
      <c r="I1264" s="43">
        <f t="shared" si="83"/>
        <v>8439.01</v>
      </c>
      <c r="J1264" s="102"/>
      <c r="K1264" s="71"/>
    </row>
    <row r="1265" spans="1:11" s="44" customFormat="1" ht="24" outlineLevel="1" x14ac:dyDescent="0.2">
      <c r="A1265" s="49" t="s">
        <v>1552</v>
      </c>
      <c r="B1265" s="108">
        <v>43320</v>
      </c>
      <c r="C1265" s="89">
        <v>43465</v>
      </c>
      <c r="D1265" s="159">
        <v>50</v>
      </c>
      <c r="E1265" s="123">
        <v>8439.01</v>
      </c>
      <c r="F1265" s="123"/>
      <c r="G1265" s="123"/>
      <c r="H1265" s="33">
        <f t="shared" si="82"/>
        <v>8439.01</v>
      </c>
      <c r="I1265" s="43">
        <f t="shared" si="83"/>
        <v>8439.01</v>
      </c>
      <c r="J1265" s="102"/>
      <c r="K1265" s="71"/>
    </row>
    <row r="1266" spans="1:11" s="44" customFormat="1" ht="24" outlineLevel="1" x14ac:dyDescent="0.2">
      <c r="A1266" s="49" t="s">
        <v>1553</v>
      </c>
      <c r="B1266" s="108">
        <v>43320</v>
      </c>
      <c r="C1266" s="89">
        <v>43465</v>
      </c>
      <c r="D1266" s="159">
        <v>70</v>
      </c>
      <c r="E1266" s="123">
        <v>8439.01</v>
      </c>
      <c r="F1266" s="123">
        <v>31802.93</v>
      </c>
      <c r="G1266" s="123"/>
      <c r="H1266" s="33">
        <f t="shared" si="82"/>
        <v>40241.94</v>
      </c>
      <c r="I1266" s="43">
        <f t="shared" si="83"/>
        <v>40241.94</v>
      </c>
      <c r="J1266" s="102"/>
      <c r="K1266" s="71"/>
    </row>
    <row r="1267" spans="1:11" s="44" customFormat="1" ht="24" outlineLevel="1" x14ac:dyDescent="0.2">
      <c r="A1267" s="49" t="s">
        <v>1554</v>
      </c>
      <c r="B1267" s="108">
        <v>43259</v>
      </c>
      <c r="C1267" s="89">
        <v>43465</v>
      </c>
      <c r="D1267" s="159">
        <v>70</v>
      </c>
      <c r="E1267" s="123">
        <v>8439.01</v>
      </c>
      <c r="F1267" s="123">
        <v>29070.92</v>
      </c>
      <c r="G1267" s="123"/>
      <c r="H1267" s="33">
        <f t="shared" si="82"/>
        <v>37509.93</v>
      </c>
      <c r="I1267" s="43">
        <f t="shared" si="83"/>
        <v>37509.93</v>
      </c>
      <c r="J1267" s="102"/>
      <c r="K1267" s="71"/>
    </row>
    <row r="1268" spans="1:11" s="44" customFormat="1" outlineLevel="1" x14ac:dyDescent="0.2">
      <c r="A1268" s="49" t="s">
        <v>1555</v>
      </c>
      <c r="B1268" s="108">
        <v>43326</v>
      </c>
      <c r="C1268" s="89">
        <v>43465</v>
      </c>
      <c r="D1268" s="159">
        <v>70</v>
      </c>
      <c r="E1268" s="123">
        <v>8439.01</v>
      </c>
      <c r="F1268" s="123">
        <v>29229.35</v>
      </c>
      <c r="G1268" s="123"/>
      <c r="H1268" s="33">
        <f t="shared" si="82"/>
        <v>37668.36</v>
      </c>
      <c r="I1268" s="43">
        <f t="shared" si="83"/>
        <v>37668.36</v>
      </c>
      <c r="J1268" s="102"/>
      <c r="K1268" s="71"/>
    </row>
    <row r="1269" spans="1:11" s="44" customFormat="1" outlineLevel="1" x14ac:dyDescent="0.2">
      <c r="A1269" s="49" t="s">
        <v>1556</v>
      </c>
      <c r="B1269" s="108">
        <v>43373</v>
      </c>
      <c r="C1269" s="89">
        <v>43465</v>
      </c>
      <c r="D1269" s="159">
        <v>50</v>
      </c>
      <c r="E1269" s="123">
        <v>5027.78</v>
      </c>
      <c r="F1269" s="123"/>
      <c r="G1269" s="123"/>
      <c r="H1269" s="33">
        <f t="shared" si="82"/>
        <v>5027.78</v>
      </c>
      <c r="I1269" s="43">
        <f t="shared" si="83"/>
        <v>5027.78</v>
      </c>
      <c r="J1269" s="102"/>
      <c r="K1269" s="71"/>
    </row>
    <row r="1270" spans="1:11" s="44" customFormat="1" ht="24" outlineLevel="1" x14ac:dyDescent="0.2">
      <c r="A1270" s="49" t="s">
        <v>1557</v>
      </c>
      <c r="B1270" s="108">
        <v>43333</v>
      </c>
      <c r="C1270" s="89">
        <v>43465</v>
      </c>
      <c r="D1270" s="159">
        <v>50</v>
      </c>
      <c r="E1270" s="123">
        <v>8439.01</v>
      </c>
      <c r="F1270" s="123"/>
      <c r="G1270" s="123"/>
      <c r="H1270" s="33">
        <f t="shared" si="82"/>
        <v>8439.01</v>
      </c>
      <c r="I1270" s="43">
        <f t="shared" si="83"/>
        <v>8439.01</v>
      </c>
      <c r="J1270" s="102"/>
      <c r="K1270" s="71"/>
    </row>
    <row r="1271" spans="1:11" s="44" customFormat="1" ht="24" outlineLevel="1" x14ac:dyDescent="0.2">
      <c r="A1271" s="49" t="s">
        <v>1558</v>
      </c>
      <c r="B1271" s="108">
        <v>42972</v>
      </c>
      <c r="C1271" s="89">
        <v>43465</v>
      </c>
      <c r="D1271" s="159">
        <v>50</v>
      </c>
      <c r="E1271" s="123">
        <v>8439.01</v>
      </c>
      <c r="F1271" s="123"/>
      <c r="G1271" s="123"/>
      <c r="H1271" s="33">
        <f t="shared" si="82"/>
        <v>8439.01</v>
      </c>
      <c r="I1271" s="43">
        <f t="shared" si="83"/>
        <v>8439.01</v>
      </c>
      <c r="J1271" s="102"/>
      <c r="K1271" s="71"/>
    </row>
    <row r="1272" spans="1:11" s="44" customFormat="1" outlineLevel="1" x14ac:dyDescent="0.2">
      <c r="A1272" s="49" t="s">
        <v>1559</v>
      </c>
      <c r="B1272" s="108">
        <v>43320</v>
      </c>
      <c r="C1272" s="89">
        <v>43465</v>
      </c>
      <c r="D1272" s="159">
        <v>50</v>
      </c>
      <c r="E1272" s="123">
        <v>8541.01</v>
      </c>
      <c r="F1272" s="123"/>
      <c r="G1272" s="123"/>
      <c r="H1272" s="33">
        <f t="shared" si="82"/>
        <v>8541.01</v>
      </c>
      <c r="I1272" s="43">
        <f t="shared" si="83"/>
        <v>8541.01</v>
      </c>
      <c r="J1272" s="102"/>
      <c r="K1272" s="71"/>
    </row>
    <row r="1273" spans="1:11" s="44" customFormat="1" ht="24" outlineLevel="1" x14ac:dyDescent="0.2">
      <c r="A1273" s="49" t="s">
        <v>1560</v>
      </c>
      <c r="B1273" s="108">
        <v>43320</v>
      </c>
      <c r="C1273" s="89">
        <v>43465</v>
      </c>
      <c r="D1273" s="159">
        <v>70</v>
      </c>
      <c r="E1273" s="123">
        <v>8439.01</v>
      </c>
      <c r="F1273" s="123">
        <v>29262.48</v>
      </c>
      <c r="G1273" s="123"/>
      <c r="H1273" s="33">
        <f t="shared" si="82"/>
        <v>37701.49</v>
      </c>
      <c r="I1273" s="43">
        <f t="shared" si="83"/>
        <v>37701.49</v>
      </c>
      <c r="J1273" s="102"/>
      <c r="K1273" s="71"/>
    </row>
    <row r="1274" spans="1:11" s="44" customFormat="1" outlineLevel="1" x14ac:dyDescent="0.2">
      <c r="A1274" s="49" t="s">
        <v>1561</v>
      </c>
      <c r="B1274" s="108">
        <v>43291</v>
      </c>
      <c r="C1274" s="89">
        <v>43465</v>
      </c>
      <c r="D1274" s="159">
        <v>50</v>
      </c>
      <c r="E1274" s="123">
        <v>5027.78</v>
      </c>
      <c r="F1274" s="123"/>
      <c r="G1274" s="123"/>
      <c r="H1274" s="33">
        <f t="shared" si="82"/>
        <v>5027.78</v>
      </c>
      <c r="I1274" s="43">
        <f t="shared" si="83"/>
        <v>5027.78</v>
      </c>
      <c r="J1274" s="102"/>
      <c r="K1274" s="71"/>
    </row>
    <row r="1275" spans="1:11" s="44" customFormat="1" ht="24" outlineLevel="1" x14ac:dyDescent="0.2">
      <c r="A1275" s="49" t="s">
        <v>1562</v>
      </c>
      <c r="B1275" s="108">
        <v>43300</v>
      </c>
      <c r="C1275" s="89">
        <v>43465</v>
      </c>
      <c r="D1275" s="159">
        <v>50</v>
      </c>
      <c r="E1275" s="123">
        <v>8439.01</v>
      </c>
      <c r="F1275" s="123"/>
      <c r="G1275" s="123"/>
      <c r="H1275" s="33">
        <f t="shared" si="82"/>
        <v>8439.01</v>
      </c>
      <c r="I1275" s="43">
        <f t="shared" si="83"/>
        <v>8439.01</v>
      </c>
      <c r="J1275" s="102"/>
      <c r="K1275" s="71"/>
    </row>
    <row r="1276" spans="1:11" s="44" customFormat="1" ht="24" outlineLevel="1" x14ac:dyDescent="0.2">
      <c r="A1276" s="49" t="s">
        <v>1563</v>
      </c>
      <c r="B1276" s="108">
        <v>43279</v>
      </c>
      <c r="C1276" s="89">
        <v>43465</v>
      </c>
      <c r="D1276" s="159">
        <v>70</v>
      </c>
      <c r="E1276" s="123">
        <v>8439.01</v>
      </c>
      <c r="F1276" s="123"/>
      <c r="G1276" s="123"/>
      <c r="H1276" s="33">
        <f t="shared" si="82"/>
        <v>8439.01</v>
      </c>
      <c r="I1276" s="43">
        <f t="shared" si="83"/>
        <v>8439.01</v>
      </c>
      <c r="J1276" s="102"/>
      <c r="K1276" s="71"/>
    </row>
    <row r="1277" spans="1:11" s="44" customFormat="1" ht="24" outlineLevel="1" x14ac:dyDescent="0.2">
      <c r="A1277" s="49" t="s">
        <v>1564</v>
      </c>
      <c r="B1277" s="108">
        <v>43304</v>
      </c>
      <c r="C1277" s="89">
        <v>43465</v>
      </c>
      <c r="D1277" s="159">
        <v>50</v>
      </c>
      <c r="E1277" s="123">
        <v>8439.01</v>
      </c>
      <c r="F1277" s="123"/>
      <c r="G1277" s="123"/>
      <c r="H1277" s="33">
        <f t="shared" si="82"/>
        <v>8439.01</v>
      </c>
      <c r="I1277" s="43">
        <f t="shared" si="83"/>
        <v>8439.01</v>
      </c>
      <c r="J1277" s="102"/>
      <c r="K1277" s="71"/>
    </row>
    <row r="1278" spans="1:11" s="44" customFormat="1" ht="24" outlineLevel="1" x14ac:dyDescent="0.2">
      <c r="A1278" s="49" t="s">
        <v>1565</v>
      </c>
      <c r="B1278" s="108">
        <v>43301</v>
      </c>
      <c r="C1278" s="89">
        <v>43465</v>
      </c>
      <c r="D1278" s="159">
        <v>50</v>
      </c>
      <c r="E1278" s="123">
        <v>8439.01</v>
      </c>
      <c r="F1278" s="123"/>
      <c r="G1278" s="123"/>
      <c r="H1278" s="33">
        <f t="shared" si="82"/>
        <v>8439.01</v>
      </c>
      <c r="I1278" s="43">
        <f t="shared" si="83"/>
        <v>8439.01</v>
      </c>
      <c r="J1278" s="102"/>
      <c r="K1278" s="71"/>
    </row>
    <row r="1279" spans="1:11" s="44" customFormat="1" ht="24" outlineLevel="1" x14ac:dyDescent="0.2">
      <c r="A1279" s="49" t="s">
        <v>1566</v>
      </c>
      <c r="B1279" s="108">
        <v>43301</v>
      </c>
      <c r="C1279" s="89">
        <v>43465</v>
      </c>
      <c r="D1279" s="159">
        <v>50</v>
      </c>
      <c r="E1279" s="123">
        <v>8439.01</v>
      </c>
      <c r="F1279" s="123"/>
      <c r="G1279" s="123"/>
      <c r="H1279" s="33">
        <f t="shared" si="82"/>
        <v>8439.01</v>
      </c>
      <c r="I1279" s="43">
        <f t="shared" si="83"/>
        <v>8439.01</v>
      </c>
      <c r="J1279" s="102"/>
      <c r="K1279" s="71"/>
    </row>
    <row r="1280" spans="1:11" s="44" customFormat="1" ht="24" outlineLevel="1" x14ac:dyDescent="0.2">
      <c r="A1280" s="49" t="s">
        <v>1567</v>
      </c>
      <c r="B1280" s="108">
        <v>43301</v>
      </c>
      <c r="C1280" s="89">
        <v>43465</v>
      </c>
      <c r="D1280" s="159">
        <v>70</v>
      </c>
      <c r="E1280" s="123">
        <v>8439.01</v>
      </c>
      <c r="F1280" s="123">
        <v>37143</v>
      </c>
      <c r="G1280" s="123"/>
      <c r="H1280" s="33">
        <f t="shared" si="82"/>
        <v>45582.01</v>
      </c>
      <c r="I1280" s="43">
        <f t="shared" si="83"/>
        <v>45582.01</v>
      </c>
      <c r="J1280" s="102"/>
      <c r="K1280" s="71"/>
    </row>
    <row r="1281" spans="1:11" s="44" customFormat="1" ht="24" outlineLevel="1" x14ac:dyDescent="0.2">
      <c r="A1281" s="49" t="s">
        <v>1568</v>
      </c>
      <c r="B1281" s="108">
        <v>43279</v>
      </c>
      <c r="C1281" s="89">
        <v>43465</v>
      </c>
      <c r="D1281" s="159">
        <v>70</v>
      </c>
      <c r="E1281" s="123">
        <v>8439.01</v>
      </c>
      <c r="F1281" s="123">
        <v>38367.54</v>
      </c>
      <c r="G1281" s="123"/>
      <c r="H1281" s="33">
        <f t="shared" si="82"/>
        <v>46806.55</v>
      </c>
      <c r="I1281" s="43">
        <f t="shared" si="83"/>
        <v>46806.55</v>
      </c>
      <c r="J1281" s="102"/>
      <c r="K1281" s="71"/>
    </row>
    <row r="1282" spans="1:11" s="44" customFormat="1" ht="24" outlineLevel="1" x14ac:dyDescent="0.2">
      <c r="A1282" s="49" t="s">
        <v>1569</v>
      </c>
      <c r="B1282" s="108">
        <v>43251</v>
      </c>
      <c r="C1282" s="89">
        <v>43465</v>
      </c>
      <c r="D1282" s="159">
        <v>50</v>
      </c>
      <c r="E1282" s="123">
        <v>4966.41</v>
      </c>
      <c r="F1282" s="123"/>
      <c r="G1282" s="123"/>
      <c r="H1282" s="33">
        <f t="shared" si="82"/>
        <v>4966.41</v>
      </c>
      <c r="I1282" s="43">
        <f t="shared" si="83"/>
        <v>4966.41</v>
      </c>
      <c r="J1282" s="102"/>
      <c r="K1282" s="71"/>
    </row>
    <row r="1283" spans="1:11" s="44" customFormat="1" ht="24" outlineLevel="1" x14ac:dyDescent="0.2">
      <c r="A1283" s="49" t="s">
        <v>1570</v>
      </c>
      <c r="B1283" s="108">
        <v>42424</v>
      </c>
      <c r="C1283" s="89">
        <v>43465</v>
      </c>
      <c r="D1283" s="159">
        <v>70</v>
      </c>
      <c r="E1283" s="123">
        <v>2825.44</v>
      </c>
      <c r="F1283" s="123"/>
      <c r="G1283" s="123"/>
      <c r="H1283" s="33">
        <f t="shared" si="82"/>
        <v>2825.44</v>
      </c>
      <c r="I1283" s="43">
        <f t="shared" si="83"/>
        <v>2825.44</v>
      </c>
      <c r="J1283" s="102"/>
      <c r="K1283" s="71"/>
    </row>
    <row r="1284" spans="1:11" s="44" customFormat="1" ht="24" outlineLevel="1" x14ac:dyDescent="0.2">
      <c r="A1284" s="49" t="s">
        <v>1571</v>
      </c>
      <c r="B1284" s="108">
        <v>43321</v>
      </c>
      <c r="C1284" s="89">
        <v>43465</v>
      </c>
      <c r="D1284" s="159">
        <v>50</v>
      </c>
      <c r="E1284" s="123">
        <v>8804.32</v>
      </c>
      <c r="F1284" s="123"/>
      <c r="G1284" s="123"/>
      <c r="H1284" s="33">
        <f t="shared" si="82"/>
        <v>8804.32</v>
      </c>
      <c r="I1284" s="43">
        <f t="shared" si="83"/>
        <v>8804.32</v>
      </c>
      <c r="J1284" s="102"/>
      <c r="K1284" s="71"/>
    </row>
    <row r="1285" spans="1:11" s="44" customFormat="1" ht="24" outlineLevel="1" x14ac:dyDescent="0.2">
      <c r="A1285" s="49" t="s">
        <v>1572</v>
      </c>
      <c r="B1285" s="108">
        <v>43311</v>
      </c>
      <c r="C1285" s="89">
        <v>43465</v>
      </c>
      <c r="D1285" s="159">
        <v>50</v>
      </c>
      <c r="E1285" s="123">
        <v>8772.5499999999993</v>
      </c>
      <c r="F1285" s="123"/>
      <c r="G1285" s="123"/>
      <c r="H1285" s="33">
        <f t="shared" si="82"/>
        <v>8772.5499999999993</v>
      </c>
      <c r="I1285" s="43">
        <f t="shared" si="83"/>
        <v>8772.5499999999993</v>
      </c>
      <c r="J1285" s="102"/>
      <c r="K1285" s="71"/>
    </row>
    <row r="1286" spans="1:11" s="44" customFormat="1" ht="24" outlineLevel="1" x14ac:dyDescent="0.2">
      <c r="A1286" s="49" t="s">
        <v>1573</v>
      </c>
      <c r="B1286" s="108">
        <v>43290</v>
      </c>
      <c r="C1286" s="89">
        <v>43465</v>
      </c>
      <c r="D1286" s="159">
        <v>50</v>
      </c>
      <c r="E1286" s="123">
        <v>5719.5</v>
      </c>
      <c r="F1286" s="123"/>
      <c r="G1286" s="123"/>
      <c r="H1286" s="33">
        <f t="shared" si="82"/>
        <v>5719.5</v>
      </c>
      <c r="I1286" s="43">
        <f t="shared" si="83"/>
        <v>5719.5</v>
      </c>
      <c r="J1286" s="102"/>
      <c r="K1286" s="71"/>
    </row>
    <row r="1287" spans="1:11" s="44" customFormat="1" outlineLevel="1" x14ac:dyDescent="0.2">
      <c r="A1287" s="49" t="s">
        <v>1574</v>
      </c>
      <c r="B1287" s="108">
        <v>43287</v>
      </c>
      <c r="C1287" s="89">
        <v>43465</v>
      </c>
      <c r="D1287" s="159">
        <v>50</v>
      </c>
      <c r="E1287" s="123">
        <v>5719.5</v>
      </c>
      <c r="F1287" s="123"/>
      <c r="G1287" s="123"/>
      <c r="H1287" s="33">
        <f t="shared" si="82"/>
        <v>5719.5</v>
      </c>
      <c r="I1287" s="43">
        <f t="shared" si="83"/>
        <v>5719.5</v>
      </c>
      <c r="J1287" s="102"/>
      <c r="K1287" s="71"/>
    </row>
    <row r="1288" spans="1:11" s="44" customFormat="1" ht="24" outlineLevel="1" x14ac:dyDescent="0.2">
      <c r="A1288" s="49" t="s">
        <v>1575</v>
      </c>
      <c r="B1288" s="108">
        <v>43329</v>
      </c>
      <c r="C1288" s="89">
        <v>43465</v>
      </c>
      <c r="D1288" s="159">
        <v>50</v>
      </c>
      <c r="E1288" s="123">
        <v>5719.5</v>
      </c>
      <c r="F1288" s="123"/>
      <c r="G1288" s="123"/>
      <c r="H1288" s="33">
        <f t="shared" si="82"/>
        <v>5719.5</v>
      </c>
      <c r="I1288" s="43">
        <f t="shared" si="83"/>
        <v>5719.5</v>
      </c>
      <c r="J1288" s="102"/>
      <c r="K1288" s="71"/>
    </row>
    <row r="1289" spans="1:11" s="44" customFormat="1" ht="24" outlineLevel="1" x14ac:dyDescent="0.2">
      <c r="A1289" s="49" t="s">
        <v>1576</v>
      </c>
      <c r="B1289" s="108">
        <v>43319</v>
      </c>
      <c r="C1289" s="89">
        <v>43465</v>
      </c>
      <c r="D1289" s="159">
        <v>50</v>
      </c>
      <c r="E1289" s="123">
        <v>5719.5</v>
      </c>
      <c r="F1289" s="123"/>
      <c r="G1289" s="123"/>
      <c r="H1289" s="33">
        <f t="shared" si="82"/>
        <v>5719.5</v>
      </c>
      <c r="I1289" s="43">
        <f t="shared" si="83"/>
        <v>5719.5</v>
      </c>
      <c r="J1289" s="102"/>
      <c r="K1289" s="71"/>
    </row>
    <row r="1290" spans="1:11" s="44" customFormat="1" ht="24" outlineLevel="1" x14ac:dyDescent="0.2">
      <c r="A1290" s="49" t="s">
        <v>1577</v>
      </c>
      <c r="B1290" s="108">
        <v>43286</v>
      </c>
      <c r="C1290" s="89">
        <v>43465</v>
      </c>
      <c r="D1290" s="159">
        <v>50</v>
      </c>
      <c r="E1290" s="123">
        <v>5719.5</v>
      </c>
      <c r="F1290" s="123"/>
      <c r="G1290" s="123"/>
      <c r="H1290" s="33">
        <f t="shared" si="82"/>
        <v>5719.5</v>
      </c>
      <c r="I1290" s="43">
        <f t="shared" si="83"/>
        <v>5719.5</v>
      </c>
      <c r="J1290" s="102"/>
      <c r="K1290" s="71"/>
    </row>
    <row r="1291" spans="1:11" s="44" customFormat="1" outlineLevel="1" x14ac:dyDescent="0.2">
      <c r="A1291" s="49" t="s">
        <v>1578</v>
      </c>
      <c r="B1291" s="108">
        <v>43305</v>
      </c>
      <c r="C1291" s="89">
        <v>43465</v>
      </c>
      <c r="D1291" s="159">
        <v>40</v>
      </c>
      <c r="E1291" s="123"/>
      <c r="F1291" s="123">
        <v>31305.85</v>
      </c>
      <c r="G1291" s="123"/>
      <c r="H1291" s="33">
        <f t="shared" si="82"/>
        <v>31305.85</v>
      </c>
      <c r="I1291" s="43">
        <f t="shared" si="83"/>
        <v>31305.85</v>
      </c>
      <c r="J1291" s="102"/>
      <c r="K1291" s="71"/>
    </row>
    <row r="1292" spans="1:11" s="44" customFormat="1" ht="24" outlineLevel="1" x14ac:dyDescent="0.2">
      <c r="A1292" s="49" t="s">
        <v>542</v>
      </c>
      <c r="B1292" s="108">
        <v>42592</v>
      </c>
      <c r="C1292" s="89">
        <v>43465</v>
      </c>
      <c r="D1292" s="159">
        <v>90</v>
      </c>
      <c r="E1292" s="123">
        <v>13301.36</v>
      </c>
      <c r="F1292" s="123">
        <v>287581.38</v>
      </c>
      <c r="G1292" s="123"/>
      <c r="H1292" s="33">
        <f t="shared" si="82"/>
        <v>300882.74</v>
      </c>
      <c r="I1292" s="43">
        <f t="shared" si="83"/>
        <v>300882.74</v>
      </c>
      <c r="J1292" s="102"/>
      <c r="K1292" s="71"/>
    </row>
    <row r="1293" spans="1:11" s="44" customFormat="1" ht="24" outlineLevel="1" x14ac:dyDescent="0.2">
      <c r="A1293" s="49" t="s">
        <v>592</v>
      </c>
      <c r="B1293" s="108">
        <v>42655</v>
      </c>
      <c r="C1293" s="89">
        <v>43465</v>
      </c>
      <c r="D1293" s="159">
        <v>60</v>
      </c>
      <c r="E1293" s="123">
        <f>8357.29+67588.42</f>
        <v>75945.709999999992</v>
      </c>
      <c r="F1293" s="123">
        <v>113339.03</v>
      </c>
      <c r="G1293" s="123">
        <v>305882.27</v>
      </c>
      <c r="H1293" s="33">
        <f t="shared" si="82"/>
        <v>495167.01</v>
      </c>
      <c r="I1293" s="43">
        <f t="shared" si="83"/>
        <v>495167.01</v>
      </c>
      <c r="J1293" s="102"/>
      <c r="K1293" s="71"/>
    </row>
    <row r="1294" spans="1:11" s="44" customFormat="1" ht="24" outlineLevel="1" x14ac:dyDescent="0.2">
      <c r="A1294" s="49" t="s">
        <v>530</v>
      </c>
      <c r="B1294" s="108">
        <v>42768</v>
      </c>
      <c r="C1294" s="89">
        <v>43465</v>
      </c>
      <c r="D1294" s="159">
        <v>50</v>
      </c>
      <c r="E1294" s="123">
        <v>13879.01</v>
      </c>
      <c r="F1294" s="123">
        <v>757169.98</v>
      </c>
      <c r="G1294" s="123"/>
      <c r="H1294" s="33">
        <f t="shared" si="82"/>
        <v>771048.99</v>
      </c>
      <c r="I1294" s="43">
        <f t="shared" si="83"/>
        <v>771048.99</v>
      </c>
      <c r="J1294" s="102"/>
      <c r="K1294" s="71"/>
    </row>
    <row r="1295" spans="1:11" s="44" customFormat="1" ht="24" outlineLevel="1" x14ac:dyDescent="0.2">
      <c r="A1295" s="49" t="s">
        <v>467</v>
      </c>
      <c r="B1295" s="108">
        <v>42725</v>
      </c>
      <c r="C1295" s="89">
        <v>43465</v>
      </c>
      <c r="D1295" s="159">
        <v>85</v>
      </c>
      <c r="E1295" s="123">
        <f>1550.46+17060.99</f>
        <v>18611.45</v>
      </c>
      <c r="F1295" s="123">
        <v>74792.28</v>
      </c>
      <c r="G1295" s="123"/>
      <c r="H1295" s="33">
        <f t="shared" ref="H1295:H1356" si="84">E1295+F1295+G1295</f>
        <v>93403.73</v>
      </c>
      <c r="I1295" s="43">
        <f t="shared" ref="I1295:I1356" si="85">H1295</f>
        <v>93403.73</v>
      </c>
      <c r="J1295" s="102"/>
      <c r="K1295" s="71"/>
    </row>
    <row r="1296" spans="1:11" s="44" customFormat="1" outlineLevel="1" x14ac:dyDescent="0.2">
      <c r="A1296" s="49" t="s">
        <v>424</v>
      </c>
      <c r="B1296" s="108">
        <v>43095</v>
      </c>
      <c r="C1296" s="89">
        <v>43465</v>
      </c>
      <c r="D1296" s="159">
        <v>70</v>
      </c>
      <c r="E1296" s="123">
        <v>6953</v>
      </c>
      <c r="F1296" s="123">
        <v>47443.22</v>
      </c>
      <c r="G1296" s="123"/>
      <c r="H1296" s="33">
        <f t="shared" si="84"/>
        <v>54396.22</v>
      </c>
      <c r="I1296" s="43">
        <f t="shared" si="85"/>
        <v>54396.22</v>
      </c>
      <c r="J1296" s="102"/>
      <c r="K1296" s="71"/>
    </row>
    <row r="1297" spans="1:11" s="44" customFormat="1" outlineLevel="1" x14ac:dyDescent="0.2">
      <c r="A1297" s="49" t="s">
        <v>426</v>
      </c>
      <c r="B1297" s="108">
        <v>43084</v>
      </c>
      <c r="C1297" s="89">
        <v>43465</v>
      </c>
      <c r="D1297" s="159">
        <v>70</v>
      </c>
      <c r="E1297" s="123">
        <v>6953</v>
      </c>
      <c r="F1297" s="123">
        <v>43594.07</v>
      </c>
      <c r="G1297" s="123"/>
      <c r="H1297" s="33">
        <f t="shared" si="84"/>
        <v>50547.07</v>
      </c>
      <c r="I1297" s="43">
        <f t="shared" si="85"/>
        <v>50547.07</v>
      </c>
      <c r="J1297" s="102"/>
      <c r="K1297" s="71"/>
    </row>
    <row r="1298" spans="1:11" s="44" customFormat="1" outlineLevel="1" x14ac:dyDescent="0.2">
      <c r="A1298" s="49" t="s">
        <v>423</v>
      </c>
      <c r="B1298" s="108">
        <v>43095</v>
      </c>
      <c r="C1298" s="89">
        <v>43465</v>
      </c>
      <c r="D1298" s="159">
        <v>80</v>
      </c>
      <c r="E1298" s="123">
        <v>6953</v>
      </c>
      <c r="F1298" s="123">
        <v>46570.47</v>
      </c>
      <c r="G1298" s="123"/>
      <c r="H1298" s="33">
        <f t="shared" si="84"/>
        <v>53523.47</v>
      </c>
      <c r="I1298" s="43">
        <f t="shared" si="85"/>
        <v>53523.47</v>
      </c>
      <c r="J1298" s="102"/>
      <c r="K1298" s="71"/>
    </row>
    <row r="1299" spans="1:11" s="44" customFormat="1" outlineLevel="1" x14ac:dyDescent="0.2">
      <c r="A1299" s="49" t="s">
        <v>425</v>
      </c>
      <c r="B1299" s="108">
        <v>43067</v>
      </c>
      <c r="C1299" s="89">
        <v>43465</v>
      </c>
      <c r="D1299" s="159">
        <v>80</v>
      </c>
      <c r="E1299" s="123">
        <v>6953</v>
      </c>
      <c r="F1299" s="123">
        <v>43944.07</v>
      </c>
      <c r="G1299" s="123"/>
      <c r="H1299" s="33">
        <f t="shared" si="84"/>
        <v>50897.07</v>
      </c>
      <c r="I1299" s="43">
        <f t="shared" si="85"/>
        <v>50897.07</v>
      </c>
      <c r="J1299" s="102"/>
      <c r="K1299" s="71"/>
    </row>
    <row r="1300" spans="1:11" s="44" customFormat="1" ht="24" outlineLevel="1" x14ac:dyDescent="0.2">
      <c r="A1300" s="49" t="s">
        <v>440</v>
      </c>
      <c r="B1300" s="108">
        <v>43088</v>
      </c>
      <c r="C1300" s="89">
        <v>43465</v>
      </c>
      <c r="D1300" s="159">
        <v>90</v>
      </c>
      <c r="E1300" s="123">
        <v>6953</v>
      </c>
      <c r="F1300" s="123">
        <v>43334.75</v>
      </c>
      <c r="G1300" s="123"/>
      <c r="H1300" s="33">
        <f t="shared" si="84"/>
        <v>50287.75</v>
      </c>
      <c r="I1300" s="43">
        <f t="shared" si="85"/>
        <v>50287.75</v>
      </c>
      <c r="J1300" s="102"/>
      <c r="K1300" s="71"/>
    </row>
    <row r="1301" spans="1:11" s="44" customFormat="1" outlineLevel="1" x14ac:dyDescent="0.2">
      <c r="A1301" s="49" t="s">
        <v>445</v>
      </c>
      <c r="B1301" s="108">
        <v>43171</v>
      </c>
      <c r="C1301" s="89">
        <v>43465</v>
      </c>
      <c r="D1301" s="159">
        <v>50</v>
      </c>
      <c r="E1301" s="123">
        <v>3305.36</v>
      </c>
      <c r="F1301" s="123"/>
      <c r="G1301" s="123"/>
      <c r="H1301" s="33">
        <f t="shared" si="84"/>
        <v>3305.36</v>
      </c>
      <c r="I1301" s="43">
        <f t="shared" si="85"/>
        <v>3305.36</v>
      </c>
      <c r="J1301" s="102"/>
      <c r="K1301" s="71"/>
    </row>
    <row r="1302" spans="1:11" s="44" customFormat="1" ht="24" outlineLevel="1" x14ac:dyDescent="0.2">
      <c r="A1302" s="49" t="s">
        <v>464</v>
      </c>
      <c r="B1302" s="108">
        <v>43090</v>
      </c>
      <c r="C1302" s="89">
        <v>43465</v>
      </c>
      <c r="D1302" s="159">
        <v>70</v>
      </c>
      <c r="E1302" s="123">
        <v>11621.37</v>
      </c>
      <c r="F1302" s="123">
        <v>32153.24</v>
      </c>
      <c r="G1302" s="123"/>
      <c r="H1302" s="33">
        <f t="shared" si="84"/>
        <v>43774.61</v>
      </c>
      <c r="I1302" s="43">
        <f t="shared" si="85"/>
        <v>43774.61</v>
      </c>
      <c r="J1302" s="102"/>
      <c r="K1302" s="71"/>
    </row>
    <row r="1303" spans="1:11" s="44" customFormat="1" ht="24" outlineLevel="1" x14ac:dyDescent="0.2">
      <c r="A1303" s="49" t="s">
        <v>437</v>
      </c>
      <c r="B1303" s="108">
        <v>43133</v>
      </c>
      <c r="C1303" s="89">
        <v>43465</v>
      </c>
      <c r="D1303" s="159">
        <v>60</v>
      </c>
      <c r="E1303" s="123">
        <v>6953</v>
      </c>
      <c r="F1303" s="123">
        <v>47670.34</v>
      </c>
      <c r="G1303" s="123"/>
      <c r="H1303" s="33">
        <f t="shared" si="84"/>
        <v>54623.34</v>
      </c>
      <c r="I1303" s="43">
        <f t="shared" si="85"/>
        <v>54623.34</v>
      </c>
      <c r="J1303" s="102"/>
      <c r="K1303" s="71"/>
    </row>
    <row r="1304" spans="1:11" s="44" customFormat="1" ht="24" outlineLevel="1" x14ac:dyDescent="0.2">
      <c r="A1304" s="49" t="s">
        <v>436</v>
      </c>
      <c r="B1304" s="108">
        <v>43171</v>
      </c>
      <c r="C1304" s="89">
        <v>43465</v>
      </c>
      <c r="D1304" s="159">
        <v>60</v>
      </c>
      <c r="E1304" s="123">
        <v>6953</v>
      </c>
      <c r="F1304" s="123">
        <v>49105.93</v>
      </c>
      <c r="G1304" s="123"/>
      <c r="H1304" s="33">
        <f t="shared" si="84"/>
        <v>56058.93</v>
      </c>
      <c r="I1304" s="43">
        <f t="shared" si="85"/>
        <v>56058.93</v>
      </c>
      <c r="J1304" s="102"/>
      <c r="K1304" s="71"/>
    </row>
    <row r="1305" spans="1:11" s="44" customFormat="1" ht="24" outlineLevel="1" x14ac:dyDescent="0.2">
      <c r="A1305" s="49" t="s">
        <v>438</v>
      </c>
      <c r="B1305" s="108">
        <v>43132</v>
      </c>
      <c r="C1305" s="89">
        <v>43465</v>
      </c>
      <c r="D1305" s="159">
        <v>70</v>
      </c>
      <c r="E1305" s="123">
        <v>6953</v>
      </c>
      <c r="F1305" s="123">
        <v>44919.49</v>
      </c>
      <c r="G1305" s="123"/>
      <c r="H1305" s="33">
        <f t="shared" si="84"/>
        <v>51872.49</v>
      </c>
      <c r="I1305" s="43">
        <f t="shared" si="85"/>
        <v>51872.49</v>
      </c>
      <c r="J1305" s="102"/>
      <c r="K1305" s="71"/>
    </row>
    <row r="1306" spans="1:11" s="44" customFormat="1" ht="24" outlineLevel="1" x14ac:dyDescent="0.2">
      <c r="A1306" s="49" t="s">
        <v>439</v>
      </c>
      <c r="B1306" s="108">
        <v>43132</v>
      </c>
      <c r="C1306" s="89">
        <v>43465</v>
      </c>
      <c r="D1306" s="159">
        <v>70</v>
      </c>
      <c r="E1306" s="123">
        <v>6953</v>
      </c>
      <c r="F1306" s="123">
        <v>41394.92</v>
      </c>
      <c r="G1306" s="123"/>
      <c r="H1306" s="33">
        <f t="shared" si="84"/>
        <v>48347.92</v>
      </c>
      <c r="I1306" s="43">
        <f t="shared" si="85"/>
        <v>48347.92</v>
      </c>
      <c r="J1306" s="102"/>
      <c r="K1306" s="71"/>
    </row>
    <row r="1307" spans="1:11" s="44" customFormat="1" ht="24" outlineLevel="1" x14ac:dyDescent="0.2">
      <c r="A1307" s="49" t="s">
        <v>431</v>
      </c>
      <c r="B1307" s="108">
        <v>43293</v>
      </c>
      <c r="C1307" s="89">
        <v>43465</v>
      </c>
      <c r="D1307" s="159">
        <v>50</v>
      </c>
      <c r="E1307" s="123">
        <v>6953</v>
      </c>
      <c r="F1307" s="123"/>
      <c r="G1307" s="123"/>
      <c r="H1307" s="33">
        <f t="shared" si="84"/>
        <v>6953</v>
      </c>
      <c r="I1307" s="43">
        <f t="shared" si="85"/>
        <v>6953</v>
      </c>
      <c r="J1307" s="102"/>
      <c r="K1307" s="71"/>
    </row>
    <row r="1308" spans="1:11" s="44" customFormat="1" ht="24" outlineLevel="1" x14ac:dyDescent="0.2">
      <c r="A1308" s="49" t="s">
        <v>429</v>
      </c>
      <c r="B1308" s="108">
        <v>43171</v>
      </c>
      <c r="C1308" s="89">
        <v>43465</v>
      </c>
      <c r="D1308" s="159">
        <v>60</v>
      </c>
      <c r="E1308" s="123">
        <v>6953</v>
      </c>
      <c r="F1308" s="123">
        <v>42538.98</v>
      </c>
      <c r="G1308" s="123"/>
      <c r="H1308" s="33">
        <f t="shared" si="84"/>
        <v>49491.98</v>
      </c>
      <c r="I1308" s="43">
        <f t="shared" si="85"/>
        <v>49491.98</v>
      </c>
      <c r="J1308" s="102"/>
      <c r="K1308" s="71"/>
    </row>
    <row r="1309" spans="1:11" s="44" customFormat="1" outlineLevel="1" x14ac:dyDescent="0.2">
      <c r="A1309" s="49" t="s">
        <v>585</v>
      </c>
      <c r="B1309" s="108">
        <v>43060</v>
      </c>
      <c r="C1309" s="89">
        <v>43465</v>
      </c>
      <c r="D1309" s="159">
        <v>60</v>
      </c>
      <c r="E1309" s="123">
        <v>14775.97</v>
      </c>
      <c r="F1309" s="123"/>
      <c r="G1309" s="123"/>
      <c r="H1309" s="33">
        <f t="shared" si="84"/>
        <v>14775.97</v>
      </c>
      <c r="I1309" s="43">
        <f t="shared" si="85"/>
        <v>14775.97</v>
      </c>
      <c r="J1309" s="102"/>
      <c r="K1309" s="71"/>
    </row>
    <row r="1310" spans="1:11" s="44" customFormat="1" outlineLevel="1" x14ac:dyDescent="0.2">
      <c r="A1310" s="49" t="s">
        <v>1041</v>
      </c>
      <c r="B1310" s="108">
        <v>43132</v>
      </c>
      <c r="C1310" s="89">
        <v>43465</v>
      </c>
      <c r="D1310" s="159">
        <v>50</v>
      </c>
      <c r="E1310" s="123">
        <v>30115.39</v>
      </c>
      <c r="F1310" s="123"/>
      <c r="G1310" s="123"/>
      <c r="H1310" s="33">
        <f t="shared" si="84"/>
        <v>30115.39</v>
      </c>
      <c r="I1310" s="43">
        <f t="shared" si="85"/>
        <v>30115.39</v>
      </c>
      <c r="J1310" s="102"/>
      <c r="K1310" s="71"/>
    </row>
    <row r="1311" spans="1:11" s="44" customFormat="1" ht="24" outlineLevel="1" x14ac:dyDescent="0.2">
      <c r="A1311" s="49" t="s">
        <v>1036</v>
      </c>
      <c r="B1311" s="108">
        <v>43143</v>
      </c>
      <c r="C1311" s="89">
        <v>43465</v>
      </c>
      <c r="D1311" s="159">
        <v>50</v>
      </c>
      <c r="E1311" s="123">
        <v>11130.39</v>
      </c>
      <c r="F1311" s="123"/>
      <c r="G1311" s="123"/>
      <c r="H1311" s="33">
        <f t="shared" si="84"/>
        <v>11130.39</v>
      </c>
      <c r="I1311" s="43">
        <f t="shared" si="85"/>
        <v>11130.39</v>
      </c>
      <c r="J1311" s="102"/>
      <c r="K1311" s="71"/>
    </row>
    <row r="1312" spans="1:11" s="44" customFormat="1" outlineLevel="1" x14ac:dyDescent="0.2">
      <c r="A1312" s="49" t="s">
        <v>1051</v>
      </c>
      <c r="B1312" s="108">
        <v>43053</v>
      </c>
      <c r="C1312" s="89">
        <v>43465</v>
      </c>
      <c r="D1312" s="159">
        <v>70</v>
      </c>
      <c r="E1312" s="123">
        <v>13816.12</v>
      </c>
      <c r="F1312" s="123">
        <v>29273.8</v>
      </c>
      <c r="G1312" s="123"/>
      <c r="H1312" s="33">
        <f t="shared" si="84"/>
        <v>43089.919999999998</v>
      </c>
      <c r="I1312" s="43">
        <f t="shared" si="85"/>
        <v>43089.919999999998</v>
      </c>
      <c r="J1312" s="102"/>
      <c r="K1312" s="71"/>
    </row>
    <row r="1313" spans="1:11" s="44" customFormat="1" outlineLevel="1" x14ac:dyDescent="0.2">
      <c r="A1313" s="49" t="s">
        <v>1044</v>
      </c>
      <c r="B1313" s="108">
        <v>42778</v>
      </c>
      <c r="C1313" s="89">
        <v>43465</v>
      </c>
      <c r="D1313" s="159">
        <v>50</v>
      </c>
      <c r="E1313" s="123">
        <v>14775.97</v>
      </c>
      <c r="F1313" s="123"/>
      <c r="G1313" s="123"/>
      <c r="H1313" s="33">
        <f t="shared" si="84"/>
        <v>14775.97</v>
      </c>
      <c r="I1313" s="43">
        <f t="shared" si="85"/>
        <v>14775.97</v>
      </c>
      <c r="J1313" s="102"/>
      <c r="K1313" s="71"/>
    </row>
    <row r="1314" spans="1:11" s="44" customFormat="1" ht="24" outlineLevel="1" x14ac:dyDescent="0.2">
      <c r="A1314" s="49" t="s">
        <v>506</v>
      </c>
      <c r="B1314" s="108">
        <v>43070</v>
      </c>
      <c r="C1314" s="89">
        <v>43465</v>
      </c>
      <c r="D1314" s="159">
        <v>50</v>
      </c>
      <c r="E1314" s="123">
        <v>11172.4</v>
      </c>
      <c r="F1314" s="123">
        <v>31027.37</v>
      </c>
      <c r="G1314" s="123"/>
      <c r="H1314" s="33">
        <f t="shared" si="84"/>
        <v>42199.77</v>
      </c>
      <c r="I1314" s="43">
        <f t="shared" si="85"/>
        <v>42199.77</v>
      </c>
      <c r="J1314" s="102"/>
      <c r="K1314" s="71"/>
    </row>
    <row r="1315" spans="1:11" s="44" customFormat="1" outlineLevel="1" x14ac:dyDescent="0.2">
      <c r="A1315" s="49" t="s">
        <v>443</v>
      </c>
      <c r="B1315" s="108">
        <v>43074</v>
      </c>
      <c r="C1315" s="89">
        <v>43465</v>
      </c>
      <c r="D1315" s="159">
        <v>50</v>
      </c>
      <c r="E1315" s="123">
        <v>11138.19</v>
      </c>
      <c r="F1315" s="123">
        <v>32723.040000000001</v>
      </c>
      <c r="G1315" s="123"/>
      <c r="H1315" s="33">
        <f t="shared" si="84"/>
        <v>43861.23</v>
      </c>
      <c r="I1315" s="43">
        <f t="shared" si="85"/>
        <v>43861.23</v>
      </c>
      <c r="J1315" s="102"/>
      <c r="K1315" s="71"/>
    </row>
    <row r="1316" spans="1:11" s="44" customFormat="1" ht="24" outlineLevel="1" x14ac:dyDescent="0.2">
      <c r="A1316" s="49" t="s">
        <v>516</v>
      </c>
      <c r="B1316" s="108">
        <v>43024</v>
      </c>
      <c r="C1316" s="89">
        <v>43465</v>
      </c>
      <c r="D1316" s="159">
        <v>50</v>
      </c>
      <c r="E1316" s="123">
        <v>7901.33</v>
      </c>
      <c r="F1316" s="123">
        <v>38356.81</v>
      </c>
      <c r="G1316" s="123"/>
      <c r="H1316" s="33">
        <f t="shared" si="84"/>
        <v>46258.14</v>
      </c>
      <c r="I1316" s="43">
        <f t="shared" si="85"/>
        <v>46258.14</v>
      </c>
      <c r="J1316" s="102"/>
      <c r="K1316" s="71"/>
    </row>
    <row r="1317" spans="1:11" s="44" customFormat="1" ht="24" outlineLevel="1" x14ac:dyDescent="0.2">
      <c r="A1317" s="49" t="s">
        <v>523</v>
      </c>
      <c r="B1317" s="108">
        <v>43066</v>
      </c>
      <c r="C1317" s="89">
        <v>43465</v>
      </c>
      <c r="D1317" s="159">
        <v>90</v>
      </c>
      <c r="E1317" s="123">
        <v>7901.33</v>
      </c>
      <c r="F1317" s="123">
        <v>1513.01</v>
      </c>
      <c r="G1317" s="123"/>
      <c r="H1317" s="33">
        <f t="shared" si="84"/>
        <v>9414.34</v>
      </c>
      <c r="I1317" s="43">
        <f t="shared" si="85"/>
        <v>9414.34</v>
      </c>
      <c r="J1317" s="102"/>
      <c r="K1317" s="71"/>
    </row>
    <row r="1318" spans="1:11" s="44" customFormat="1" ht="24" outlineLevel="1" x14ac:dyDescent="0.2">
      <c r="A1318" s="49" t="s">
        <v>974</v>
      </c>
      <c r="B1318" s="108">
        <v>43189</v>
      </c>
      <c r="C1318" s="89">
        <v>43465</v>
      </c>
      <c r="D1318" s="159">
        <v>50</v>
      </c>
      <c r="E1318" s="123">
        <v>6953</v>
      </c>
      <c r="F1318" s="123"/>
      <c r="G1318" s="123"/>
      <c r="H1318" s="33">
        <f t="shared" si="84"/>
        <v>6953</v>
      </c>
      <c r="I1318" s="43">
        <f t="shared" si="85"/>
        <v>6953</v>
      </c>
      <c r="J1318" s="102"/>
      <c r="K1318" s="71"/>
    </row>
    <row r="1319" spans="1:11" s="44" customFormat="1" ht="24" outlineLevel="1" x14ac:dyDescent="0.2">
      <c r="A1319" s="49" t="s">
        <v>978</v>
      </c>
      <c r="B1319" s="108">
        <v>43189</v>
      </c>
      <c r="C1319" s="89">
        <v>43465</v>
      </c>
      <c r="D1319" s="159">
        <v>50</v>
      </c>
      <c r="E1319" s="123">
        <v>6953</v>
      </c>
      <c r="F1319" s="123"/>
      <c r="G1319" s="123"/>
      <c r="H1319" s="33">
        <f t="shared" si="84"/>
        <v>6953</v>
      </c>
      <c r="I1319" s="43">
        <f t="shared" si="85"/>
        <v>6953</v>
      </c>
      <c r="J1319" s="102"/>
      <c r="K1319" s="71"/>
    </row>
    <row r="1320" spans="1:11" s="44" customFormat="1" ht="24" outlineLevel="1" x14ac:dyDescent="0.2">
      <c r="A1320" s="49" t="s">
        <v>983</v>
      </c>
      <c r="B1320" s="108">
        <v>43189</v>
      </c>
      <c r="C1320" s="89">
        <v>43465</v>
      </c>
      <c r="D1320" s="159">
        <v>50</v>
      </c>
      <c r="E1320" s="123">
        <v>6953</v>
      </c>
      <c r="F1320" s="123"/>
      <c r="G1320" s="123"/>
      <c r="H1320" s="33">
        <f t="shared" si="84"/>
        <v>6953</v>
      </c>
      <c r="I1320" s="43">
        <f t="shared" si="85"/>
        <v>6953</v>
      </c>
      <c r="J1320" s="102"/>
      <c r="K1320" s="71"/>
    </row>
    <row r="1321" spans="1:11" s="44" customFormat="1" ht="24" outlineLevel="1" x14ac:dyDescent="0.2">
      <c r="A1321" s="49" t="s">
        <v>982</v>
      </c>
      <c r="B1321" s="108">
        <v>43095</v>
      </c>
      <c r="C1321" s="89">
        <v>43465</v>
      </c>
      <c r="D1321" s="159">
        <v>50</v>
      </c>
      <c r="E1321" s="123">
        <v>6953</v>
      </c>
      <c r="F1321" s="123"/>
      <c r="G1321" s="123"/>
      <c r="H1321" s="33">
        <f t="shared" si="84"/>
        <v>6953</v>
      </c>
      <c r="I1321" s="43">
        <f t="shared" si="85"/>
        <v>6953</v>
      </c>
      <c r="J1321" s="102"/>
      <c r="K1321" s="71"/>
    </row>
    <row r="1322" spans="1:11" s="44" customFormat="1" ht="24" outlineLevel="1" x14ac:dyDescent="0.2">
      <c r="A1322" s="49" t="s">
        <v>981</v>
      </c>
      <c r="B1322" s="108">
        <v>43188</v>
      </c>
      <c r="C1322" s="89">
        <v>43465</v>
      </c>
      <c r="D1322" s="159">
        <v>70</v>
      </c>
      <c r="E1322" s="123">
        <v>6953</v>
      </c>
      <c r="F1322" s="123">
        <v>29990.39</v>
      </c>
      <c r="G1322" s="123"/>
      <c r="H1322" s="33">
        <f t="shared" si="84"/>
        <v>36943.39</v>
      </c>
      <c r="I1322" s="43">
        <f t="shared" si="85"/>
        <v>36943.39</v>
      </c>
      <c r="J1322" s="102"/>
      <c r="K1322" s="71"/>
    </row>
    <row r="1323" spans="1:11" s="44" customFormat="1" ht="24" outlineLevel="1" x14ac:dyDescent="0.2">
      <c r="A1323" s="49" t="s">
        <v>1579</v>
      </c>
      <c r="B1323" s="108">
        <v>43068</v>
      </c>
      <c r="C1323" s="89">
        <v>43465</v>
      </c>
      <c r="D1323" s="159">
        <v>99</v>
      </c>
      <c r="E1323" s="123"/>
      <c r="F1323" s="123">
        <v>43674.59</v>
      </c>
      <c r="G1323" s="123"/>
      <c r="H1323" s="33">
        <f t="shared" si="84"/>
        <v>43674.59</v>
      </c>
      <c r="I1323" s="43">
        <f t="shared" si="85"/>
        <v>43674.59</v>
      </c>
      <c r="J1323" s="102"/>
      <c r="K1323" s="71"/>
    </row>
    <row r="1324" spans="1:11" s="44" customFormat="1" ht="24" outlineLevel="1" x14ac:dyDescent="0.2">
      <c r="A1324" s="49" t="s">
        <v>976</v>
      </c>
      <c r="B1324" s="108">
        <v>43180</v>
      </c>
      <c r="C1324" s="89">
        <v>43465</v>
      </c>
      <c r="D1324" s="159">
        <v>70</v>
      </c>
      <c r="E1324" s="123">
        <v>10904.46</v>
      </c>
      <c r="F1324" s="123">
        <v>35948.89</v>
      </c>
      <c r="G1324" s="123"/>
      <c r="H1324" s="33">
        <f t="shared" si="84"/>
        <v>46853.35</v>
      </c>
      <c r="I1324" s="43">
        <f t="shared" si="85"/>
        <v>46853.35</v>
      </c>
      <c r="J1324" s="102"/>
      <c r="K1324" s="71"/>
    </row>
    <row r="1325" spans="1:11" s="44" customFormat="1" outlineLevel="1" x14ac:dyDescent="0.2">
      <c r="A1325" s="49" t="s">
        <v>1033</v>
      </c>
      <c r="B1325" s="108">
        <v>43077</v>
      </c>
      <c r="C1325" s="89">
        <v>43465</v>
      </c>
      <c r="D1325" s="159">
        <v>50</v>
      </c>
      <c r="E1325" s="123">
        <v>12713.26</v>
      </c>
      <c r="F1325" s="123"/>
      <c r="G1325" s="123"/>
      <c r="H1325" s="33">
        <f t="shared" si="84"/>
        <v>12713.26</v>
      </c>
      <c r="I1325" s="43">
        <f t="shared" si="85"/>
        <v>12713.26</v>
      </c>
      <c r="J1325" s="102"/>
      <c r="K1325" s="71"/>
    </row>
    <row r="1326" spans="1:11" s="44" customFormat="1" ht="24" outlineLevel="1" x14ac:dyDescent="0.2">
      <c r="A1326" s="49" t="s">
        <v>1016</v>
      </c>
      <c r="B1326" s="108">
        <v>43122</v>
      </c>
      <c r="C1326" s="89">
        <v>43465</v>
      </c>
      <c r="D1326" s="159">
        <v>60</v>
      </c>
      <c r="E1326" s="123">
        <v>10956.19</v>
      </c>
      <c r="F1326" s="123">
        <v>26005.62</v>
      </c>
      <c r="G1326" s="123"/>
      <c r="H1326" s="33">
        <f t="shared" si="84"/>
        <v>36961.81</v>
      </c>
      <c r="I1326" s="43">
        <f t="shared" si="85"/>
        <v>36961.81</v>
      </c>
      <c r="J1326" s="102"/>
      <c r="K1326" s="71"/>
    </row>
    <row r="1327" spans="1:11" s="44" customFormat="1" ht="24" outlineLevel="1" x14ac:dyDescent="0.2">
      <c r="A1327" s="49" t="s">
        <v>1010</v>
      </c>
      <c r="B1327" s="108">
        <v>43164</v>
      </c>
      <c r="C1327" s="89">
        <v>43465</v>
      </c>
      <c r="D1327" s="159">
        <v>80</v>
      </c>
      <c r="E1327" s="123">
        <v>10506.49</v>
      </c>
      <c r="F1327" s="123">
        <v>38216.089999999997</v>
      </c>
      <c r="G1327" s="123"/>
      <c r="H1327" s="33">
        <f t="shared" si="84"/>
        <v>48722.579999999994</v>
      </c>
      <c r="I1327" s="43">
        <f t="shared" si="85"/>
        <v>48722.579999999994</v>
      </c>
      <c r="J1327" s="102"/>
      <c r="K1327" s="71"/>
    </row>
    <row r="1328" spans="1:11" s="44" customFormat="1" outlineLevel="1" x14ac:dyDescent="0.2">
      <c r="A1328" s="49" t="s">
        <v>1061</v>
      </c>
      <c r="B1328" s="108">
        <v>43172</v>
      </c>
      <c r="C1328" s="89">
        <v>43465</v>
      </c>
      <c r="D1328" s="159">
        <v>70</v>
      </c>
      <c r="E1328" s="123">
        <v>8096.62</v>
      </c>
      <c r="F1328" s="123">
        <v>43252.09</v>
      </c>
      <c r="G1328" s="123"/>
      <c r="H1328" s="33">
        <f t="shared" si="84"/>
        <v>51348.71</v>
      </c>
      <c r="I1328" s="43">
        <f t="shared" si="85"/>
        <v>51348.71</v>
      </c>
      <c r="J1328" s="102"/>
      <c r="K1328" s="71"/>
    </row>
    <row r="1329" spans="1:11" s="44" customFormat="1" ht="24" outlineLevel="1" x14ac:dyDescent="0.2">
      <c r="A1329" s="49" t="s">
        <v>990</v>
      </c>
      <c r="B1329" s="108">
        <v>43160</v>
      </c>
      <c r="C1329" s="89">
        <v>43465</v>
      </c>
      <c r="D1329" s="159">
        <v>60</v>
      </c>
      <c r="E1329" s="123">
        <v>8096.62</v>
      </c>
      <c r="F1329" s="123">
        <v>29760.720000000001</v>
      </c>
      <c r="G1329" s="123"/>
      <c r="H1329" s="33">
        <f t="shared" si="84"/>
        <v>37857.340000000004</v>
      </c>
      <c r="I1329" s="43">
        <f t="shared" si="85"/>
        <v>37857.340000000004</v>
      </c>
      <c r="J1329" s="102"/>
      <c r="K1329" s="71"/>
    </row>
    <row r="1330" spans="1:11" s="44" customFormat="1" ht="24" outlineLevel="1" x14ac:dyDescent="0.2">
      <c r="A1330" s="49" t="s">
        <v>992</v>
      </c>
      <c r="B1330" s="108">
        <v>43160</v>
      </c>
      <c r="C1330" s="89">
        <v>43465</v>
      </c>
      <c r="D1330" s="159">
        <v>60</v>
      </c>
      <c r="E1330" s="123">
        <v>10813.68</v>
      </c>
      <c r="F1330" s="123">
        <v>31530.560000000001</v>
      </c>
      <c r="G1330" s="123"/>
      <c r="H1330" s="33">
        <f t="shared" si="84"/>
        <v>42344.240000000005</v>
      </c>
      <c r="I1330" s="43">
        <f t="shared" si="85"/>
        <v>42344.240000000005</v>
      </c>
      <c r="J1330" s="102"/>
      <c r="K1330" s="71"/>
    </row>
    <row r="1331" spans="1:11" s="44" customFormat="1" ht="24" outlineLevel="1" x14ac:dyDescent="0.2">
      <c r="A1331" s="49" t="s">
        <v>1043</v>
      </c>
      <c r="B1331" s="108">
        <v>43181</v>
      </c>
      <c r="C1331" s="89">
        <v>43465</v>
      </c>
      <c r="D1331" s="159">
        <v>70</v>
      </c>
      <c r="E1331" s="123">
        <v>4895.53</v>
      </c>
      <c r="F1331" s="123">
        <v>19747.63</v>
      </c>
      <c r="G1331" s="123"/>
      <c r="H1331" s="33">
        <f t="shared" si="84"/>
        <v>24643.16</v>
      </c>
      <c r="I1331" s="43">
        <f t="shared" si="85"/>
        <v>24643.16</v>
      </c>
      <c r="J1331" s="102"/>
      <c r="K1331" s="71"/>
    </row>
    <row r="1332" spans="1:11" s="44" customFormat="1" ht="24" outlineLevel="1" x14ac:dyDescent="0.2">
      <c r="A1332" s="49" t="s">
        <v>995</v>
      </c>
      <c r="B1332" s="108">
        <v>43066</v>
      </c>
      <c r="C1332" s="89">
        <v>43465</v>
      </c>
      <c r="D1332" s="159">
        <v>70</v>
      </c>
      <c r="E1332" s="123">
        <v>8203.85</v>
      </c>
      <c r="F1332" s="123">
        <v>59422.239999999998</v>
      </c>
      <c r="G1332" s="123"/>
      <c r="H1332" s="33">
        <f t="shared" si="84"/>
        <v>67626.09</v>
      </c>
      <c r="I1332" s="43">
        <f t="shared" si="85"/>
        <v>67626.09</v>
      </c>
      <c r="J1332" s="102"/>
      <c r="K1332" s="71"/>
    </row>
    <row r="1333" spans="1:11" s="44" customFormat="1" ht="24" outlineLevel="1" x14ac:dyDescent="0.2">
      <c r="A1333" s="49" t="s">
        <v>980</v>
      </c>
      <c r="B1333" s="108">
        <v>43195</v>
      </c>
      <c r="C1333" s="89">
        <v>43465</v>
      </c>
      <c r="D1333" s="159">
        <v>70</v>
      </c>
      <c r="E1333" s="123">
        <v>10900.63</v>
      </c>
      <c r="F1333" s="123">
        <v>33168.76</v>
      </c>
      <c r="G1333" s="123"/>
      <c r="H1333" s="33">
        <f t="shared" si="84"/>
        <v>44069.39</v>
      </c>
      <c r="I1333" s="43">
        <f t="shared" si="85"/>
        <v>44069.39</v>
      </c>
      <c r="J1333" s="102"/>
      <c r="K1333" s="71"/>
    </row>
    <row r="1334" spans="1:11" s="44" customFormat="1" ht="24" outlineLevel="1" x14ac:dyDescent="0.2">
      <c r="A1334" s="49" t="s">
        <v>1035</v>
      </c>
      <c r="B1334" s="108">
        <v>43217</v>
      </c>
      <c r="C1334" s="89">
        <v>43465</v>
      </c>
      <c r="D1334" s="159">
        <v>70</v>
      </c>
      <c r="E1334" s="123">
        <v>10952.36</v>
      </c>
      <c r="F1334" s="123">
        <v>29901.15</v>
      </c>
      <c r="G1334" s="123"/>
      <c r="H1334" s="33">
        <f t="shared" si="84"/>
        <v>40853.51</v>
      </c>
      <c r="I1334" s="43">
        <f t="shared" si="85"/>
        <v>40853.51</v>
      </c>
      <c r="J1334" s="102"/>
      <c r="K1334" s="71"/>
    </row>
    <row r="1335" spans="1:11" s="44" customFormat="1" ht="24" outlineLevel="1" x14ac:dyDescent="0.2">
      <c r="A1335" s="49" t="s">
        <v>1580</v>
      </c>
      <c r="B1335" s="108">
        <v>43217</v>
      </c>
      <c r="C1335" s="89">
        <v>43465</v>
      </c>
      <c r="D1335" s="159">
        <v>60</v>
      </c>
      <c r="E1335" s="123">
        <v>8540.7999999999993</v>
      </c>
      <c r="F1335" s="123">
        <v>32173.58</v>
      </c>
      <c r="G1335" s="123"/>
      <c r="H1335" s="33">
        <f t="shared" si="84"/>
        <v>40714.380000000005</v>
      </c>
      <c r="I1335" s="43">
        <f t="shared" si="85"/>
        <v>40714.380000000005</v>
      </c>
      <c r="J1335" s="102"/>
      <c r="K1335" s="71"/>
    </row>
    <row r="1336" spans="1:11" s="44" customFormat="1" ht="24" outlineLevel="1" x14ac:dyDescent="0.2">
      <c r="A1336" s="49" t="s">
        <v>1581</v>
      </c>
      <c r="B1336" s="108">
        <v>43250</v>
      </c>
      <c r="C1336" s="89">
        <v>43465</v>
      </c>
      <c r="D1336" s="159">
        <v>60</v>
      </c>
      <c r="E1336" s="123">
        <v>11257.86</v>
      </c>
      <c r="F1336" s="123">
        <v>28014.12</v>
      </c>
      <c r="G1336" s="123"/>
      <c r="H1336" s="33">
        <f t="shared" si="84"/>
        <v>39271.979999999996</v>
      </c>
      <c r="I1336" s="43">
        <f t="shared" si="85"/>
        <v>39271.979999999996</v>
      </c>
      <c r="J1336" s="102"/>
      <c r="K1336" s="71"/>
    </row>
    <row r="1337" spans="1:11" s="44" customFormat="1" ht="24" outlineLevel="1" x14ac:dyDescent="0.2">
      <c r="A1337" s="49" t="s">
        <v>1582</v>
      </c>
      <c r="B1337" s="108">
        <v>43245</v>
      </c>
      <c r="C1337" s="89">
        <v>43465</v>
      </c>
      <c r="D1337" s="159">
        <v>50</v>
      </c>
      <c r="E1337" s="123">
        <v>8540.7999999999993</v>
      </c>
      <c r="F1337" s="123"/>
      <c r="G1337" s="123"/>
      <c r="H1337" s="33">
        <f t="shared" si="84"/>
        <v>8540.7999999999993</v>
      </c>
      <c r="I1337" s="43">
        <f t="shared" si="85"/>
        <v>8540.7999999999993</v>
      </c>
      <c r="J1337" s="102"/>
      <c r="K1337" s="71"/>
    </row>
    <row r="1338" spans="1:11" s="44" customFormat="1" ht="24" outlineLevel="1" x14ac:dyDescent="0.2">
      <c r="A1338" s="49" t="s">
        <v>1583</v>
      </c>
      <c r="B1338" s="108">
        <v>43213</v>
      </c>
      <c r="C1338" s="89">
        <v>43465</v>
      </c>
      <c r="D1338" s="159">
        <v>60</v>
      </c>
      <c r="E1338" s="123">
        <v>8540.7999999999993</v>
      </c>
      <c r="F1338" s="123">
        <v>39399.07</v>
      </c>
      <c r="G1338" s="123"/>
      <c r="H1338" s="33">
        <f t="shared" si="84"/>
        <v>47939.869999999995</v>
      </c>
      <c r="I1338" s="43">
        <f t="shared" si="85"/>
        <v>47939.869999999995</v>
      </c>
      <c r="J1338" s="102"/>
      <c r="K1338" s="71"/>
    </row>
    <row r="1339" spans="1:11" s="44" customFormat="1" ht="24" outlineLevel="1" x14ac:dyDescent="0.2">
      <c r="A1339" s="49" t="s">
        <v>1584</v>
      </c>
      <c r="B1339" s="108">
        <v>43272</v>
      </c>
      <c r="C1339" s="89">
        <v>43465</v>
      </c>
      <c r="D1339" s="159">
        <v>99</v>
      </c>
      <c r="E1339" s="123">
        <v>12737.47</v>
      </c>
      <c r="F1339" s="123">
        <v>46451.38</v>
      </c>
      <c r="G1339" s="123"/>
      <c r="H1339" s="33">
        <f t="shared" si="84"/>
        <v>59188.85</v>
      </c>
      <c r="I1339" s="43">
        <f t="shared" si="85"/>
        <v>59188.85</v>
      </c>
      <c r="J1339" s="102"/>
      <c r="K1339" s="71"/>
    </row>
    <row r="1340" spans="1:11" s="44" customFormat="1" ht="24" outlineLevel="1" x14ac:dyDescent="0.2">
      <c r="A1340" s="49" t="s">
        <v>1585</v>
      </c>
      <c r="B1340" s="108">
        <v>43256</v>
      </c>
      <c r="C1340" s="89">
        <v>43465</v>
      </c>
      <c r="D1340" s="159">
        <v>70</v>
      </c>
      <c r="E1340" s="123">
        <v>8540.7999999999993</v>
      </c>
      <c r="F1340" s="123">
        <v>37044.050000000003</v>
      </c>
      <c r="G1340" s="123"/>
      <c r="H1340" s="33">
        <f t="shared" si="84"/>
        <v>45584.850000000006</v>
      </c>
      <c r="I1340" s="43">
        <f t="shared" si="85"/>
        <v>45584.850000000006</v>
      </c>
      <c r="J1340" s="102"/>
      <c r="K1340" s="71"/>
    </row>
    <row r="1341" spans="1:11" s="44" customFormat="1" outlineLevel="1" x14ac:dyDescent="0.2">
      <c r="A1341" s="49" t="s">
        <v>1586</v>
      </c>
      <c r="B1341" s="108">
        <v>43189</v>
      </c>
      <c r="C1341" s="89">
        <v>43465</v>
      </c>
      <c r="D1341" s="159">
        <v>60</v>
      </c>
      <c r="E1341" s="123">
        <v>8459.89</v>
      </c>
      <c r="F1341" s="123">
        <v>35263.67</v>
      </c>
      <c r="G1341" s="123"/>
      <c r="H1341" s="33">
        <f t="shared" si="84"/>
        <v>43723.56</v>
      </c>
      <c r="I1341" s="43">
        <f t="shared" si="85"/>
        <v>43723.56</v>
      </c>
      <c r="J1341" s="102"/>
      <c r="K1341" s="71"/>
    </row>
    <row r="1342" spans="1:11" s="44" customFormat="1" ht="24" outlineLevel="1" x14ac:dyDescent="0.2">
      <c r="A1342" s="49" t="s">
        <v>1587</v>
      </c>
      <c r="B1342" s="108">
        <v>43201</v>
      </c>
      <c r="C1342" s="89">
        <v>43465</v>
      </c>
      <c r="D1342" s="159">
        <v>50</v>
      </c>
      <c r="E1342" s="123">
        <v>11228.68</v>
      </c>
      <c r="F1342" s="123"/>
      <c r="G1342" s="123"/>
      <c r="H1342" s="33">
        <f t="shared" si="84"/>
        <v>11228.68</v>
      </c>
      <c r="I1342" s="43">
        <f t="shared" si="85"/>
        <v>11228.68</v>
      </c>
      <c r="J1342" s="102"/>
      <c r="K1342" s="71"/>
    </row>
    <row r="1343" spans="1:11" s="44" customFormat="1" ht="24" outlineLevel="1" x14ac:dyDescent="0.2">
      <c r="A1343" s="49" t="s">
        <v>1588</v>
      </c>
      <c r="B1343" s="108">
        <v>43173</v>
      </c>
      <c r="C1343" s="89">
        <v>43465</v>
      </c>
      <c r="D1343" s="159">
        <v>50</v>
      </c>
      <c r="E1343" s="123">
        <v>2717.06</v>
      </c>
      <c r="F1343" s="123"/>
      <c r="G1343" s="123"/>
      <c r="H1343" s="33">
        <f t="shared" si="84"/>
        <v>2717.06</v>
      </c>
      <c r="I1343" s="43">
        <f t="shared" si="85"/>
        <v>2717.06</v>
      </c>
      <c r="J1343" s="102"/>
      <c r="K1343" s="71"/>
    </row>
    <row r="1344" spans="1:11" s="44" customFormat="1" ht="24" outlineLevel="1" x14ac:dyDescent="0.2">
      <c r="A1344" s="49" t="s">
        <v>1589</v>
      </c>
      <c r="B1344" s="108">
        <v>43196</v>
      </c>
      <c r="C1344" s="89">
        <v>43465</v>
      </c>
      <c r="D1344" s="159">
        <v>60</v>
      </c>
      <c r="E1344" s="123">
        <v>8459.89</v>
      </c>
      <c r="F1344" s="123">
        <v>33592.370000000003</v>
      </c>
      <c r="G1344" s="123"/>
      <c r="H1344" s="33">
        <f t="shared" si="84"/>
        <v>42052.26</v>
      </c>
      <c r="I1344" s="43">
        <f t="shared" si="85"/>
        <v>42052.26</v>
      </c>
      <c r="J1344" s="102"/>
      <c r="K1344" s="71"/>
    </row>
    <row r="1345" spans="1:11" s="44" customFormat="1" ht="24" outlineLevel="1" x14ac:dyDescent="0.2">
      <c r="A1345" s="49" t="s">
        <v>1590</v>
      </c>
      <c r="B1345" s="108">
        <v>43199</v>
      </c>
      <c r="C1345" s="89">
        <v>43465</v>
      </c>
      <c r="D1345" s="159">
        <v>50</v>
      </c>
      <c r="E1345" s="123">
        <v>5915.32</v>
      </c>
      <c r="F1345" s="123"/>
      <c r="G1345" s="123"/>
      <c r="H1345" s="33">
        <f t="shared" si="84"/>
        <v>5915.32</v>
      </c>
      <c r="I1345" s="43">
        <f t="shared" si="85"/>
        <v>5915.32</v>
      </c>
      <c r="J1345" s="102"/>
      <c r="K1345" s="71"/>
    </row>
    <row r="1346" spans="1:11" s="44" customFormat="1" ht="24" outlineLevel="1" x14ac:dyDescent="0.2">
      <c r="A1346" s="49" t="s">
        <v>1591</v>
      </c>
      <c r="B1346" s="108">
        <v>43172</v>
      </c>
      <c r="C1346" s="89">
        <v>43465</v>
      </c>
      <c r="D1346" s="159">
        <v>50</v>
      </c>
      <c r="E1346" s="123">
        <v>11634.82</v>
      </c>
      <c r="F1346" s="123"/>
      <c r="G1346" s="123"/>
      <c r="H1346" s="33">
        <f t="shared" si="84"/>
        <v>11634.82</v>
      </c>
      <c r="I1346" s="43">
        <f t="shared" si="85"/>
        <v>11634.82</v>
      </c>
      <c r="J1346" s="102"/>
      <c r="K1346" s="71"/>
    </row>
    <row r="1347" spans="1:11" s="44" customFormat="1" ht="24" outlineLevel="1" x14ac:dyDescent="0.2">
      <c r="A1347" s="49" t="s">
        <v>1592</v>
      </c>
      <c r="B1347" s="108">
        <v>43258</v>
      </c>
      <c r="C1347" s="89">
        <v>43465</v>
      </c>
      <c r="D1347" s="159">
        <v>70</v>
      </c>
      <c r="E1347" s="123">
        <v>10811.88</v>
      </c>
      <c r="F1347" s="123">
        <v>43345.4</v>
      </c>
      <c r="G1347" s="123"/>
      <c r="H1347" s="33">
        <f t="shared" si="84"/>
        <v>54157.279999999999</v>
      </c>
      <c r="I1347" s="43">
        <f t="shared" si="85"/>
        <v>54157.279999999999</v>
      </c>
      <c r="J1347" s="102"/>
      <c r="K1347" s="71"/>
    </row>
    <row r="1348" spans="1:11" s="44" customFormat="1" ht="24" outlineLevel="1" x14ac:dyDescent="0.2">
      <c r="A1348" s="49" t="s">
        <v>1593</v>
      </c>
      <c r="B1348" s="108">
        <v>43283</v>
      </c>
      <c r="C1348" s="89">
        <v>43465</v>
      </c>
      <c r="D1348" s="159">
        <v>70</v>
      </c>
      <c r="E1348" s="123">
        <v>11137.25</v>
      </c>
      <c r="F1348" s="123">
        <v>43289.04</v>
      </c>
      <c r="G1348" s="123"/>
      <c r="H1348" s="33">
        <f t="shared" si="84"/>
        <v>54426.29</v>
      </c>
      <c r="I1348" s="43">
        <f t="shared" si="85"/>
        <v>54426.29</v>
      </c>
      <c r="J1348" s="102"/>
      <c r="K1348" s="71"/>
    </row>
    <row r="1349" spans="1:11" s="44" customFormat="1" ht="24" outlineLevel="1" x14ac:dyDescent="0.2">
      <c r="A1349" s="49" t="s">
        <v>1594</v>
      </c>
      <c r="B1349" s="108">
        <v>43213</v>
      </c>
      <c r="C1349" s="89">
        <v>43465</v>
      </c>
      <c r="D1349" s="159">
        <v>50</v>
      </c>
      <c r="E1349" s="123">
        <v>10568.04</v>
      </c>
      <c r="F1349" s="123"/>
      <c r="G1349" s="123"/>
      <c r="H1349" s="33">
        <f t="shared" si="84"/>
        <v>10568.04</v>
      </c>
      <c r="I1349" s="43">
        <f t="shared" si="85"/>
        <v>10568.04</v>
      </c>
      <c r="J1349" s="102"/>
      <c r="K1349" s="71"/>
    </row>
    <row r="1350" spans="1:11" s="44" customFormat="1" ht="24" outlineLevel="1" x14ac:dyDescent="0.2">
      <c r="A1350" s="49" t="s">
        <v>1595</v>
      </c>
      <c r="B1350" s="108">
        <v>43195</v>
      </c>
      <c r="C1350" s="89">
        <v>43465</v>
      </c>
      <c r="D1350" s="159">
        <v>50</v>
      </c>
      <c r="E1350" s="123">
        <v>25668.03</v>
      </c>
      <c r="F1350" s="123"/>
      <c r="G1350" s="123"/>
      <c r="H1350" s="33">
        <f t="shared" si="84"/>
        <v>25668.03</v>
      </c>
      <c r="I1350" s="43">
        <f t="shared" si="85"/>
        <v>25668.03</v>
      </c>
      <c r="J1350" s="73"/>
      <c r="K1350" s="65"/>
    </row>
    <row r="1351" spans="1:11" s="44" customFormat="1" ht="24" outlineLevel="1" x14ac:dyDescent="0.2">
      <c r="A1351" s="49" t="s">
        <v>1596</v>
      </c>
      <c r="B1351" s="108">
        <v>43192</v>
      </c>
      <c r="C1351" s="89">
        <v>43465</v>
      </c>
      <c r="D1351" s="159">
        <v>50</v>
      </c>
      <c r="E1351" s="123">
        <v>5537.5</v>
      </c>
      <c r="F1351" s="123"/>
      <c r="G1351" s="123"/>
      <c r="H1351" s="33">
        <f t="shared" si="84"/>
        <v>5537.5</v>
      </c>
      <c r="I1351" s="43">
        <f t="shared" si="85"/>
        <v>5537.5</v>
      </c>
      <c r="J1351" s="73"/>
      <c r="K1351" s="65"/>
    </row>
    <row r="1352" spans="1:11" s="44" customFormat="1" ht="24" outlineLevel="1" x14ac:dyDescent="0.2">
      <c r="A1352" s="49" t="s">
        <v>1597</v>
      </c>
      <c r="B1352" s="108">
        <v>43312</v>
      </c>
      <c r="C1352" s="89">
        <v>43465</v>
      </c>
      <c r="D1352" s="159">
        <v>60</v>
      </c>
      <c r="E1352" s="123">
        <v>8540.7999999999993</v>
      </c>
      <c r="F1352" s="123">
        <v>26564.86</v>
      </c>
      <c r="G1352" s="123"/>
      <c r="H1352" s="33">
        <f t="shared" si="84"/>
        <v>35105.660000000003</v>
      </c>
      <c r="I1352" s="43">
        <f t="shared" si="85"/>
        <v>35105.660000000003</v>
      </c>
      <c r="J1352" s="73"/>
      <c r="K1352" s="65"/>
    </row>
    <row r="1353" spans="1:11" s="44" customFormat="1" ht="24" outlineLevel="1" x14ac:dyDescent="0.2">
      <c r="A1353" s="49" t="s">
        <v>1598</v>
      </c>
      <c r="B1353" s="108">
        <v>43249</v>
      </c>
      <c r="C1353" s="89">
        <v>43465</v>
      </c>
      <c r="D1353" s="159">
        <v>60</v>
      </c>
      <c r="E1353" s="123">
        <v>11309.59</v>
      </c>
      <c r="F1353" s="123">
        <v>32563.59</v>
      </c>
      <c r="G1353" s="123"/>
      <c r="H1353" s="33">
        <f t="shared" si="84"/>
        <v>43873.18</v>
      </c>
      <c r="I1353" s="43">
        <f t="shared" si="85"/>
        <v>43873.18</v>
      </c>
      <c r="J1353" s="73"/>
      <c r="K1353" s="65"/>
    </row>
    <row r="1354" spans="1:11" s="44" customFormat="1" outlineLevel="1" x14ac:dyDescent="0.2">
      <c r="A1354" s="49" t="s">
        <v>1599</v>
      </c>
      <c r="B1354" s="108">
        <v>43260</v>
      </c>
      <c r="C1354" s="89">
        <v>43465</v>
      </c>
      <c r="D1354" s="159">
        <v>99</v>
      </c>
      <c r="E1354" s="123">
        <v>8094.82</v>
      </c>
      <c r="F1354" s="123">
        <v>32688.13</v>
      </c>
      <c r="G1354" s="123"/>
      <c r="H1354" s="33">
        <f t="shared" si="84"/>
        <v>40782.949999999997</v>
      </c>
      <c r="I1354" s="43">
        <f t="shared" si="85"/>
        <v>40782.949999999997</v>
      </c>
      <c r="J1354" s="73"/>
      <c r="K1354" s="65"/>
    </row>
    <row r="1355" spans="1:11" s="44" customFormat="1" outlineLevel="1" x14ac:dyDescent="0.2">
      <c r="A1355" s="49" t="s">
        <v>1600</v>
      </c>
      <c r="B1355" s="108">
        <v>43214</v>
      </c>
      <c r="C1355" s="89">
        <v>43465</v>
      </c>
      <c r="D1355" s="159">
        <v>50</v>
      </c>
      <c r="E1355" s="123">
        <v>13913.18</v>
      </c>
      <c r="F1355" s="123"/>
      <c r="G1355" s="123"/>
      <c r="H1355" s="33">
        <f t="shared" si="84"/>
        <v>13913.18</v>
      </c>
      <c r="I1355" s="43">
        <f t="shared" si="85"/>
        <v>13913.18</v>
      </c>
      <c r="J1355" s="73"/>
      <c r="K1355" s="65"/>
    </row>
    <row r="1356" spans="1:11" s="44" customFormat="1" ht="24" outlineLevel="1" x14ac:dyDescent="0.2">
      <c r="A1356" s="49" t="s">
        <v>1601</v>
      </c>
      <c r="B1356" s="108">
        <v>43250</v>
      </c>
      <c r="C1356" s="89">
        <v>43465</v>
      </c>
      <c r="D1356" s="159">
        <v>50</v>
      </c>
      <c r="E1356" s="123">
        <v>14260.51</v>
      </c>
      <c r="F1356" s="123"/>
      <c r="G1356" s="123"/>
      <c r="H1356" s="33">
        <f t="shared" si="84"/>
        <v>14260.51</v>
      </c>
      <c r="I1356" s="43">
        <f t="shared" si="85"/>
        <v>14260.51</v>
      </c>
      <c r="J1356" s="73"/>
      <c r="K1356" s="65"/>
    </row>
    <row r="1357" spans="1:11" s="44" customFormat="1" ht="24" outlineLevel="1" x14ac:dyDescent="0.2">
      <c r="A1357" s="21" t="s">
        <v>615</v>
      </c>
      <c r="B1357" s="89">
        <v>42713</v>
      </c>
      <c r="C1357" s="89">
        <v>43465</v>
      </c>
      <c r="D1357" s="130">
        <v>40</v>
      </c>
      <c r="E1357" s="14">
        <v>7085</v>
      </c>
      <c r="F1357" s="14"/>
      <c r="G1357" s="14"/>
      <c r="H1357" s="48">
        <f t="shared" ref="H1357:H1359" si="86">E1357+F1357+G1357</f>
        <v>7085</v>
      </c>
      <c r="I1357" s="43">
        <f t="shared" ref="I1357:I1360" si="87">H1357</f>
        <v>7085</v>
      </c>
      <c r="J1357" s="102"/>
      <c r="K1357" s="71"/>
    </row>
    <row r="1358" spans="1:11" s="44" customFormat="1" ht="24" outlineLevel="1" x14ac:dyDescent="0.2">
      <c r="A1358" s="49" t="s">
        <v>549</v>
      </c>
      <c r="B1358" s="108">
        <v>42605</v>
      </c>
      <c r="C1358" s="89">
        <v>43465</v>
      </c>
      <c r="D1358" s="159">
        <v>60</v>
      </c>
      <c r="E1358" s="123">
        <f>3581.69+10444.33</f>
        <v>14026.02</v>
      </c>
      <c r="F1358" s="123">
        <v>166147.17000000001</v>
      </c>
      <c r="G1358" s="123"/>
      <c r="H1358" s="33">
        <f t="shared" si="86"/>
        <v>180173.19</v>
      </c>
      <c r="I1358" s="43">
        <f t="shared" si="87"/>
        <v>180173.19</v>
      </c>
      <c r="J1358" s="73"/>
      <c r="K1358" s="65"/>
    </row>
    <row r="1359" spans="1:11" s="44" customFormat="1" ht="24" outlineLevel="1" x14ac:dyDescent="0.2">
      <c r="A1359" s="49" t="s">
        <v>564</v>
      </c>
      <c r="B1359" s="108">
        <v>42984</v>
      </c>
      <c r="C1359" s="89">
        <v>43465</v>
      </c>
      <c r="D1359" s="159">
        <v>95</v>
      </c>
      <c r="E1359" s="123">
        <f>1550.46+17553.33</f>
        <v>19103.79</v>
      </c>
      <c r="F1359" s="123">
        <v>34181.01</v>
      </c>
      <c r="G1359" s="123"/>
      <c r="H1359" s="33">
        <f t="shared" si="86"/>
        <v>53284.800000000003</v>
      </c>
      <c r="I1359" s="43">
        <f t="shared" si="87"/>
        <v>53284.800000000003</v>
      </c>
      <c r="J1359" s="73"/>
      <c r="K1359" s="65"/>
    </row>
    <row r="1360" spans="1:11" x14ac:dyDescent="0.2">
      <c r="A1360" s="17"/>
      <c r="B1360" s="89"/>
      <c r="C1360" s="89"/>
      <c r="D1360" s="130"/>
      <c r="E1360" s="58">
        <f>SUM(E893:E1359)</f>
        <v>6685084.5699999938</v>
      </c>
      <c r="F1360" s="58">
        <f t="shared" ref="F1360:G1360" si="88">SUM(F893:F1359)</f>
        <v>16621521.530000001</v>
      </c>
      <c r="G1360" s="58">
        <f t="shared" si="88"/>
        <v>579921.44000000006</v>
      </c>
      <c r="H1360" s="33">
        <f>SUM(H893:H1359)</f>
        <v>23886527.540000074</v>
      </c>
      <c r="I1360" s="43">
        <f t="shared" si="87"/>
        <v>23886527.540000074</v>
      </c>
      <c r="J1360" s="48"/>
      <c r="K1360" s="48"/>
    </row>
    <row r="1361" spans="1:11" ht="24" x14ac:dyDescent="0.2">
      <c r="A1361" s="40" t="s">
        <v>370</v>
      </c>
      <c r="B1361" s="89"/>
      <c r="C1361" s="90"/>
      <c r="D1361" s="187"/>
      <c r="E1361" s="61"/>
      <c r="F1361" s="61"/>
      <c r="G1361" s="14"/>
      <c r="H1361" s="33"/>
      <c r="I1361" s="43"/>
      <c r="J1361" s="14"/>
      <c r="K1361" s="65"/>
    </row>
    <row r="1362" spans="1:11" ht="24" outlineLevel="1" x14ac:dyDescent="0.2">
      <c r="A1362" s="151" t="s">
        <v>894</v>
      </c>
      <c r="B1362" s="97">
        <v>43196</v>
      </c>
      <c r="C1362" s="107">
        <v>43516</v>
      </c>
      <c r="D1362" s="188">
        <v>30</v>
      </c>
      <c r="E1362" s="39"/>
      <c r="F1362" s="124">
        <v>7500</v>
      </c>
      <c r="G1362" s="123"/>
      <c r="H1362" s="33">
        <f t="shared" ref="H1362:H1370" si="89">SUM(F1362:G1362)</f>
        <v>7500</v>
      </c>
      <c r="I1362" s="43">
        <v>7500</v>
      </c>
      <c r="J1362" s="38">
        <f>H1362-I1362</f>
        <v>0</v>
      </c>
      <c r="K1362" s="38">
        <f>H1362-I1362</f>
        <v>0</v>
      </c>
    </row>
    <row r="1363" spans="1:11" ht="12.75" outlineLevel="1" x14ac:dyDescent="0.2">
      <c r="A1363" s="151" t="s">
        <v>247</v>
      </c>
      <c r="B1363" s="97">
        <v>43031</v>
      </c>
      <c r="C1363" s="197">
        <v>43639</v>
      </c>
      <c r="D1363" s="189">
        <v>90</v>
      </c>
      <c r="E1363" s="39"/>
      <c r="F1363" s="126">
        <v>96000</v>
      </c>
      <c r="G1363" s="126"/>
      <c r="H1363" s="33">
        <f t="shared" si="89"/>
        <v>96000</v>
      </c>
      <c r="I1363" s="127">
        <v>96000</v>
      </c>
      <c r="J1363" s="38">
        <f>H1363-I1363</f>
        <v>0</v>
      </c>
      <c r="K1363" s="38">
        <f>H1363-I1363</f>
        <v>0</v>
      </c>
    </row>
    <row r="1364" spans="1:11" ht="36" outlineLevel="1" x14ac:dyDescent="0.2">
      <c r="A1364" s="151" t="s">
        <v>95</v>
      </c>
      <c r="B1364" s="97">
        <v>42730</v>
      </c>
      <c r="C1364" s="197">
        <v>43435</v>
      </c>
      <c r="D1364" s="189">
        <v>90</v>
      </c>
      <c r="E1364" s="39"/>
      <c r="F1364" s="126">
        <v>34718.06</v>
      </c>
      <c r="G1364" s="126"/>
      <c r="H1364" s="33">
        <f t="shared" si="89"/>
        <v>34718.06</v>
      </c>
      <c r="I1364" s="127">
        <v>34718.06</v>
      </c>
      <c r="J1364" s="38">
        <f>H1364-I1364</f>
        <v>0</v>
      </c>
      <c r="K1364" s="38">
        <f>H1364-I1364</f>
        <v>0</v>
      </c>
    </row>
    <row r="1365" spans="1:11" ht="36" outlineLevel="1" x14ac:dyDescent="0.2">
      <c r="A1365" s="151" t="s">
        <v>248</v>
      </c>
      <c r="B1365" s="97">
        <v>42850</v>
      </c>
      <c r="C1365" s="197">
        <v>43474</v>
      </c>
      <c r="D1365" s="189">
        <v>70</v>
      </c>
      <c r="E1365" s="39"/>
      <c r="F1365" s="126">
        <v>513505.21</v>
      </c>
      <c r="G1365" s="126">
        <v>14600</v>
      </c>
      <c r="H1365" s="33">
        <f t="shared" si="89"/>
        <v>528105.21</v>
      </c>
      <c r="I1365" s="127">
        <v>528105.21</v>
      </c>
      <c r="J1365" s="38">
        <f>H1365-I1365</f>
        <v>0</v>
      </c>
      <c r="K1365" s="38">
        <f>H1365-I1365</f>
        <v>0</v>
      </c>
    </row>
    <row r="1366" spans="1:11" ht="24" outlineLevel="1" x14ac:dyDescent="0.2">
      <c r="A1366" s="151" t="s">
        <v>249</v>
      </c>
      <c r="B1366" s="97">
        <v>43096</v>
      </c>
      <c r="C1366" s="197">
        <v>43486</v>
      </c>
      <c r="D1366" s="189">
        <v>90</v>
      </c>
      <c r="E1366" s="39"/>
      <c r="F1366" s="126">
        <v>8200</v>
      </c>
      <c r="G1366" s="126"/>
      <c r="H1366" s="33">
        <f t="shared" si="89"/>
        <v>8200</v>
      </c>
      <c r="I1366" s="127">
        <v>8200</v>
      </c>
      <c r="J1366" s="38">
        <f t="shared" ref="J1366:J1370" si="90">H1366-I1366</f>
        <v>0</v>
      </c>
      <c r="K1366" s="38">
        <f t="shared" ref="K1366:K1370" si="91">H1366-I1366</f>
        <v>0</v>
      </c>
    </row>
    <row r="1367" spans="1:11" ht="24" outlineLevel="1" x14ac:dyDescent="0.2">
      <c r="A1367" s="151" t="s">
        <v>250</v>
      </c>
      <c r="B1367" s="97">
        <v>43017</v>
      </c>
      <c r="C1367" s="197">
        <v>43639</v>
      </c>
      <c r="D1367" s="189">
        <v>90</v>
      </c>
      <c r="E1367" s="39"/>
      <c r="F1367" s="126">
        <v>96000</v>
      </c>
      <c r="G1367" s="126"/>
      <c r="H1367" s="33">
        <f t="shared" si="89"/>
        <v>96000</v>
      </c>
      <c r="I1367" s="127">
        <v>96000</v>
      </c>
      <c r="J1367" s="38">
        <f t="shared" si="90"/>
        <v>0</v>
      </c>
      <c r="K1367" s="38">
        <f t="shared" si="91"/>
        <v>0</v>
      </c>
    </row>
    <row r="1368" spans="1:11" ht="24" outlineLevel="1" x14ac:dyDescent="0.2">
      <c r="A1368" s="151" t="s">
        <v>1315</v>
      </c>
      <c r="B1368" s="97">
        <v>43346</v>
      </c>
      <c r="C1368" s="197">
        <v>43578</v>
      </c>
      <c r="D1368" s="189">
        <v>70</v>
      </c>
      <c r="E1368" s="39"/>
      <c r="F1368" s="126">
        <v>15030.46</v>
      </c>
      <c r="G1368" s="126"/>
      <c r="H1368" s="33">
        <f t="shared" si="89"/>
        <v>15030.46</v>
      </c>
      <c r="I1368" s="127">
        <v>15030.46</v>
      </c>
      <c r="J1368" s="38">
        <f t="shared" si="90"/>
        <v>0</v>
      </c>
      <c r="K1368" s="38">
        <f t="shared" si="91"/>
        <v>0</v>
      </c>
    </row>
    <row r="1369" spans="1:11" ht="12.75" outlineLevel="1" x14ac:dyDescent="0.2">
      <c r="A1369" s="151" t="s">
        <v>1316</v>
      </c>
      <c r="B1369" s="97">
        <v>43346</v>
      </c>
      <c r="C1369" s="197">
        <v>43516</v>
      </c>
      <c r="D1369" s="189">
        <v>70</v>
      </c>
      <c r="E1369" s="39"/>
      <c r="F1369" s="126">
        <v>19981.080000000002</v>
      </c>
      <c r="G1369" s="126"/>
      <c r="H1369" s="33">
        <f t="shared" si="89"/>
        <v>19981.080000000002</v>
      </c>
      <c r="I1369" s="127">
        <v>19981.080000000002</v>
      </c>
      <c r="J1369" s="38">
        <f t="shared" si="90"/>
        <v>0</v>
      </c>
      <c r="K1369" s="38">
        <f t="shared" si="91"/>
        <v>0</v>
      </c>
    </row>
    <row r="1370" spans="1:11" ht="12.75" outlineLevel="1" x14ac:dyDescent="0.2">
      <c r="A1370" s="151" t="s">
        <v>1317</v>
      </c>
      <c r="B1370" s="97">
        <v>43314</v>
      </c>
      <c r="C1370" s="197">
        <v>44094</v>
      </c>
      <c r="D1370" s="189">
        <v>70</v>
      </c>
      <c r="E1370" s="39"/>
      <c r="F1370" s="126">
        <v>10323.56</v>
      </c>
      <c r="G1370" s="126"/>
      <c r="H1370" s="33">
        <f t="shared" si="89"/>
        <v>10323.56</v>
      </c>
      <c r="I1370" s="127">
        <v>10323.56</v>
      </c>
      <c r="J1370" s="38">
        <f t="shared" si="90"/>
        <v>0</v>
      </c>
      <c r="K1370" s="38">
        <f t="shared" si="91"/>
        <v>0</v>
      </c>
    </row>
    <row r="1371" spans="1:11" x14ac:dyDescent="0.2">
      <c r="A1371" s="50"/>
      <c r="B1371" s="89"/>
      <c r="C1371" s="89"/>
      <c r="D1371" s="130"/>
      <c r="E1371" s="58"/>
      <c r="F1371" s="58">
        <f>SUM(F1362:F1370)</f>
        <v>801258.37</v>
      </c>
      <c r="G1371" s="58">
        <f>SUM(G1362:G1370)</f>
        <v>14600</v>
      </c>
      <c r="H1371" s="48">
        <f>SUM(H1362:H1370)</f>
        <v>815858.37</v>
      </c>
      <c r="I1371" s="48">
        <f>SUM(I1362:I1370)</f>
        <v>815858.37</v>
      </c>
      <c r="J1371" s="71"/>
      <c r="K1371" s="65"/>
    </row>
    <row r="1372" spans="1:11" x14ac:dyDescent="0.2">
      <c r="A1372" s="21"/>
      <c r="B1372" s="90"/>
      <c r="C1372" s="89"/>
      <c r="D1372" s="130"/>
      <c r="E1372" s="14"/>
      <c r="F1372" s="14"/>
      <c r="G1372" s="14"/>
      <c r="H1372" s="48"/>
      <c r="I1372" s="43"/>
      <c r="J1372" s="18"/>
      <c r="K1372" s="65"/>
    </row>
    <row r="1373" spans="1:11" ht="24" x14ac:dyDescent="0.2">
      <c r="A1373" s="40" t="s">
        <v>371</v>
      </c>
      <c r="B1373" s="89"/>
      <c r="C1373" s="90"/>
      <c r="D1373" s="187"/>
      <c r="E1373" s="61"/>
      <c r="F1373" s="61"/>
      <c r="G1373" s="14"/>
      <c r="H1373" s="33"/>
      <c r="I1373" s="43"/>
      <c r="J1373" s="14"/>
      <c r="K1373" s="65"/>
    </row>
    <row r="1374" spans="1:11" ht="24" outlineLevel="1" x14ac:dyDescent="0.2">
      <c r="A1374" s="49" t="s">
        <v>1318</v>
      </c>
      <c r="B1374" s="97">
        <v>43343</v>
      </c>
      <c r="C1374" s="107">
        <v>43555</v>
      </c>
      <c r="D1374" s="141">
        <v>10</v>
      </c>
      <c r="E1374" s="137">
        <v>21104</v>
      </c>
      <c r="F1374" s="124">
        <v>0</v>
      </c>
      <c r="G1374" s="123">
        <v>0</v>
      </c>
      <c r="H1374" s="33">
        <f>E1374+F1374+G1374</f>
        <v>21104</v>
      </c>
      <c r="I1374" s="102">
        <v>21104</v>
      </c>
      <c r="J1374" s="38"/>
      <c r="K1374" s="65"/>
    </row>
    <row r="1375" spans="1:11" ht="24" outlineLevel="1" x14ac:dyDescent="0.2">
      <c r="A1375" s="49" t="s">
        <v>1319</v>
      </c>
      <c r="B1375" s="96">
        <v>43271</v>
      </c>
      <c r="C1375" s="97" t="s">
        <v>1320</v>
      </c>
      <c r="D1375" s="190">
        <v>10</v>
      </c>
      <c r="E1375" s="138">
        <v>19800</v>
      </c>
      <c r="F1375" s="139">
        <v>0</v>
      </c>
      <c r="G1375" s="139">
        <v>0</v>
      </c>
      <c r="H1375" s="33">
        <f t="shared" ref="H1375:H1381" si="92">E1375+F1375+G1375</f>
        <v>19800</v>
      </c>
      <c r="I1375" s="102">
        <v>19800</v>
      </c>
      <c r="J1375" s="38"/>
      <c r="K1375" s="65"/>
    </row>
    <row r="1376" spans="1:11" ht="24" outlineLevel="1" x14ac:dyDescent="0.2">
      <c r="A1376" s="49" t="s">
        <v>895</v>
      </c>
      <c r="B1376" s="97">
        <v>43237</v>
      </c>
      <c r="C1376" s="194">
        <v>43465</v>
      </c>
      <c r="D1376" s="190">
        <v>20</v>
      </c>
      <c r="E1376" s="138">
        <v>11528</v>
      </c>
      <c r="F1376" s="139">
        <v>0</v>
      </c>
      <c r="G1376" s="139">
        <v>0</v>
      </c>
      <c r="H1376" s="33">
        <f t="shared" si="92"/>
        <v>11528</v>
      </c>
      <c r="I1376" s="102">
        <v>11528</v>
      </c>
      <c r="J1376" s="38"/>
      <c r="K1376" s="65"/>
    </row>
    <row r="1377" spans="1:11" ht="24" outlineLevel="1" x14ac:dyDescent="0.2">
      <c r="A1377" s="49" t="s">
        <v>161</v>
      </c>
      <c r="B1377" s="97">
        <v>43100</v>
      </c>
      <c r="C1377" s="194">
        <v>43465</v>
      </c>
      <c r="D1377" s="190">
        <v>10</v>
      </c>
      <c r="E1377" s="138">
        <v>7000</v>
      </c>
      <c r="F1377" s="139">
        <v>0</v>
      </c>
      <c r="G1377" s="139">
        <v>0</v>
      </c>
      <c r="H1377" s="33">
        <f t="shared" si="92"/>
        <v>7000</v>
      </c>
      <c r="I1377" s="102">
        <v>7000</v>
      </c>
      <c r="J1377" s="38"/>
      <c r="K1377" s="65"/>
    </row>
    <row r="1378" spans="1:11" ht="24" outlineLevel="1" x14ac:dyDescent="0.2">
      <c r="A1378" s="49" t="s">
        <v>896</v>
      </c>
      <c r="B1378" s="97">
        <v>43008</v>
      </c>
      <c r="C1378" s="97">
        <v>43465</v>
      </c>
      <c r="D1378" s="190">
        <v>10</v>
      </c>
      <c r="E1378" s="138">
        <v>15000</v>
      </c>
      <c r="F1378" s="139">
        <v>0</v>
      </c>
      <c r="G1378" s="139">
        <v>0</v>
      </c>
      <c r="H1378" s="33">
        <f t="shared" si="92"/>
        <v>15000</v>
      </c>
      <c r="I1378" s="102">
        <v>15000</v>
      </c>
      <c r="J1378" s="38"/>
      <c r="K1378" s="65"/>
    </row>
    <row r="1379" spans="1:11" ht="24" outlineLevel="1" x14ac:dyDescent="0.2">
      <c r="A1379" s="49" t="s">
        <v>162</v>
      </c>
      <c r="B1379" s="97">
        <v>42644</v>
      </c>
      <c r="C1379" s="97">
        <v>43465</v>
      </c>
      <c r="D1379" s="190">
        <v>20</v>
      </c>
      <c r="E1379" s="138">
        <v>3133.3</v>
      </c>
      <c r="F1379" s="139">
        <v>67876.58</v>
      </c>
      <c r="G1379" s="139">
        <v>0</v>
      </c>
      <c r="H1379" s="33">
        <f t="shared" si="92"/>
        <v>71009.88</v>
      </c>
      <c r="I1379" s="102">
        <v>71009.88</v>
      </c>
      <c r="J1379" s="38"/>
      <c r="K1379" s="65"/>
    </row>
    <row r="1380" spans="1:11" ht="24" outlineLevel="1" x14ac:dyDescent="0.2">
      <c r="A1380" s="49" t="s">
        <v>163</v>
      </c>
      <c r="B1380" s="97">
        <v>43100</v>
      </c>
      <c r="C1380" s="97">
        <v>43555</v>
      </c>
      <c r="D1380" s="190">
        <v>10</v>
      </c>
      <c r="E1380" s="138">
        <v>3911.11</v>
      </c>
      <c r="F1380" s="139">
        <v>0</v>
      </c>
      <c r="G1380" s="139">
        <v>0</v>
      </c>
      <c r="H1380" s="33">
        <f t="shared" si="92"/>
        <v>3911.11</v>
      </c>
      <c r="I1380" s="102">
        <v>3911.11</v>
      </c>
      <c r="J1380" s="38"/>
      <c r="K1380" s="65"/>
    </row>
    <row r="1381" spans="1:11" ht="24" outlineLevel="1" x14ac:dyDescent="0.2">
      <c r="A1381" s="49" t="s">
        <v>897</v>
      </c>
      <c r="B1381" s="97">
        <v>43237</v>
      </c>
      <c r="C1381" s="97">
        <v>43465</v>
      </c>
      <c r="D1381" s="190">
        <v>10</v>
      </c>
      <c r="E1381" s="138">
        <v>13324</v>
      </c>
      <c r="F1381" s="139">
        <v>0</v>
      </c>
      <c r="G1381" s="139">
        <v>0</v>
      </c>
      <c r="H1381" s="33">
        <f t="shared" si="92"/>
        <v>13324</v>
      </c>
      <c r="I1381" s="102">
        <v>13324</v>
      </c>
      <c r="J1381" s="38"/>
      <c r="K1381" s="65"/>
    </row>
    <row r="1382" spans="1:11" x14ac:dyDescent="0.2">
      <c r="A1382" s="50"/>
      <c r="B1382" s="89"/>
      <c r="C1382" s="89"/>
      <c r="D1382" s="130"/>
      <c r="E1382" s="58">
        <f>SUM(E1374:E1381)</f>
        <v>94800.41</v>
      </c>
      <c r="F1382" s="58">
        <f>SUM(F1374:F1381)</f>
        <v>67876.58</v>
      </c>
      <c r="G1382" s="58">
        <f>SUM(G1374:G1381)</f>
        <v>0</v>
      </c>
      <c r="H1382" s="48">
        <f>SUM(H1374:H1381)</f>
        <v>162676.99</v>
      </c>
      <c r="I1382" s="48">
        <f>SUM(I1374:I1381)</f>
        <v>162676.99</v>
      </c>
      <c r="J1382" s="79"/>
      <c r="K1382" s="65"/>
    </row>
    <row r="1383" spans="1:11" x14ac:dyDescent="0.2">
      <c r="A1383" s="31"/>
      <c r="B1383" s="89"/>
      <c r="C1383" s="89"/>
      <c r="D1383" s="187"/>
      <c r="E1383" s="14"/>
      <c r="F1383" s="14"/>
      <c r="G1383" s="14"/>
      <c r="H1383" s="48"/>
      <c r="I1383" s="48"/>
      <c r="J1383" s="73"/>
      <c r="K1383" s="65"/>
    </row>
    <row r="1384" spans="1:11" ht="24" x14ac:dyDescent="0.2">
      <c r="A1384" s="40" t="s">
        <v>372</v>
      </c>
      <c r="B1384" s="89"/>
      <c r="C1384" s="90"/>
      <c r="D1384" s="187"/>
      <c r="E1384" s="61"/>
      <c r="F1384" s="61"/>
      <c r="G1384" s="14"/>
      <c r="H1384" s="33"/>
      <c r="I1384" s="43"/>
      <c r="J1384" s="14"/>
      <c r="K1384" s="65"/>
    </row>
    <row r="1385" spans="1:11" ht="24" outlineLevel="1" x14ac:dyDescent="0.2">
      <c r="A1385" s="51" t="s">
        <v>898</v>
      </c>
      <c r="B1385" s="108">
        <v>43221</v>
      </c>
      <c r="C1385" s="107">
        <v>43616</v>
      </c>
      <c r="D1385" s="188">
        <v>5</v>
      </c>
      <c r="E1385" s="124">
        <v>5938.58</v>
      </c>
      <c r="F1385" s="124"/>
      <c r="G1385" s="39"/>
      <c r="H1385" s="48">
        <f>E1385+F1385</f>
        <v>5938.58</v>
      </c>
      <c r="I1385" s="43">
        <f t="shared" ref="I1385:I1448" si="93">H1385</f>
        <v>5938.58</v>
      </c>
      <c r="J1385" s="18"/>
      <c r="K1385" s="65"/>
    </row>
    <row r="1386" spans="1:11" ht="24" outlineLevel="1" x14ac:dyDescent="0.2">
      <c r="A1386" s="51" t="s">
        <v>899</v>
      </c>
      <c r="B1386" s="108">
        <v>43191</v>
      </c>
      <c r="C1386" s="90">
        <v>43585</v>
      </c>
      <c r="D1386" s="188">
        <v>5</v>
      </c>
      <c r="E1386" s="124">
        <v>2314.6</v>
      </c>
      <c r="F1386" s="124"/>
      <c r="G1386" s="39"/>
      <c r="H1386" s="48">
        <f t="shared" ref="H1386:H1449" si="94">E1386+F1386</f>
        <v>2314.6</v>
      </c>
      <c r="I1386" s="43">
        <f t="shared" si="93"/>
        <v>2314.6</v>
      </c>
      <c r="J1386" s="38"/>
      <c r="K1386" s="65"/>
    </row>
    <row r="1387" spans="1:11" ht="24" outlineLevel="1" x14ac:dyDescent="0.2">
      <c r="A1387" s="51" t="s">
        <v>373</v>
      </c>
      <c r="B1387" s="108">
        <v>43101</v>
      </c>
      <c r="C1387" s="107">
        <v>43555</v>
      </c>
      <c r="D1387" s="188">
        <v>10</v>
      </c>
      <c r="E1387" s="124">
        <v>583.58000000000004</v>
      </c>
      <c r="F1387" s="124">
        <v>1600</v>
      </c>
      <c r="G1387" s="39"/>
      <c r="H1387" s="48">
        <f t="shared" si="94"/>
        <v>2183.58</v>
      </c>
      <c r="I1387" s="43">
        <f t="shared" si="93"/>
        <v>2183.58</v>
      </c>
      <c r="J1387" s="38"/>
      <c r="K1387" s="65"/>
    </row>
    <row r="1388" spans="1:11" ht="24" outlineLevel="1" x14ac:dyDescent="0.2">
      <c r="A1388" s="51" t="s">
        <v>37</v>
      </c>
      <c r="B1388" s="108">
        <v>42309</v>
      </c>
      <c r="C1388" s="107">
        <v>43616</v>
      </c>
      <c r="D1388" s="188">
        <v>5</v>
      </c>
      <c r="E1388" s="124">
        <v>21365.13</v>
      </c>
      <c r="F1388" s="124"/>
      <c r="G1388" s="39"/>
      <c r="H1388" s="48">
        <f t="shared" si="94"/>
        <v>21365.13</v>
      </c>
      <c r="I1388" s="43">
        <f t="shared" si="93"/>
        <v>21365.13</v>
      </c>
      <c r="J1388" s="38"/>
      <c r="K1388" s="65"/>
    </row>
    <row r="1389" spans="1:11" ht="24" outlineLevel="1" x14ac:dyDescent="0.2">
      <c r="A1389" s="51" t="s">
        <v>900</v>
      </c>
      <c r="B1389" s="108">
        <v>43191</v>
      </c>
      <c r="C1389" s="107">
        <v>43830</v>
      </c>
      <c r="D1389" s="188">
        <v>10</v>
      </c>
      <c r="E1389" s="124">
        <v>1702.08</v>
      </c>
      <c r="F1389" s="124">
        <v>1600</v>
      </c>
      <c r="G1389" s="39"/>
      <c r="H1389" s="48">
        <f t="shared" si="94"/>
        <v>3302.08</v>
      </c>
      <c r="I1389" s="43">
        <f t="shared" si="93"/>
        <v>3302.08</v>
      </c>
      <c r="J1389" s="38"/>
      <c r="K1389" s="65"/>
    </row>
    <row r="1390" spans="1:11" ht="24" outlineLevel="1" x14ac:dyDescent="0.2">
      <c r="A1390" s="51" t="s">
        <v>103</v>
      </c>
      <c r="B1390" s="108">
        <v>42826</v>
      </c>
      <c r="C1390" s="107">
        <v>43524</v>
      </c>
      <c r="D1390" s="188">
        <v>5</v>
      </c>
      <c r="E1390" s="124">
        <v>7509.22</v>
      </c>
      <c r="F1390" s="124"/>
      <c r="G1390" s="39"/>
      <c r="H1390" s="48">
        <f t="shared" si="94"/>
        <v>7509.22</v>
      </c>
      <c r="I1390" s="43">
        <f t="shared" si="93"/>
        <v>7509.22</v>
      </c>
      <c r="J1390" s="38"/>
      <c r="K1390" s="65"/>
    </row>
    <row r="1391" spans="1:11" ht="12.75" outlineLevel="1" x14ac:dyDescent="0.2">
      <c r="A1391" s="51" t="s">
        <v>1321</v>
      </c>
      <c r="B1391" s="108">
        <v>43282</v>
      </c>
      <c r="C1391" s="107">
        <v>43465</v>
      </c>
      <c r="D1391" s="188">
        <v>5</v>
      </c>
      <c r="E1391" s="124">
        <v>1851.66</v>
      </c>
      <c r="F1391" s="124"/>
      <c r="G1391" s="39"/>
      <c r="H1391" s="48">
        <f t="shared" si="94"/>
        <v>1851.66</v>
      </c>
      <c r="I1391" s="43">
        <f t="shared" si="93"/>
        <v>1851.66</v>
      </c>
      <c r="J1391" s="38"/>
      <c r="K1391" s="65"/>
    </row>
    <row r="1392" spans="1:11" ht="24" outlineLevel="1" x14ac:dyDescent="0.2">
      <c r="A1392" s="51" t="s">
        <v>104</v>
      </c>
      <c r="B1392" s="108">
        <v>42979</v>
      </c>
      <c r="C1392" s="107">
        <v>43465</v>
      </c>
      <c r="D1392" s="188">
        <v>5</v>
      </c>
      <c r="E1392" s="124">
        <v>1837.17</v>
      </c>
      <c r="F1392" s="124"/>
      <c r="G1392" s="39"/>
      <c r="H1392" s="48">
        <f t="shared" si="94"/>
        <v>1837.17</v>
      </c>
      <c r="I1392" s="43">
        <f t="shared" si="93"/>
        <v>1837.17</v>
      </c>
      <c r="J1392" s="38"/>
      <c r="K1392" s="65"/>
    </row>
    <row r="1393" spans="1:11" ht="36" outlineLevel="1" x14ac:dyDescent="0.2">
      <c r="A1393" s="51" t="s">
        <v>901</v>
      </c>
      <c r="B1393" s="108">
        <v>43221</v>
      </c>
      <c r="C1393" s="90">
        <v>43585</v>
      </c>
      <c r="D1393" s="188">
        <v>5</v>
      </c>
      <c r="E1393" s="124">
        <v>1851.66</v>
      </c>
      <c r="F1393" s="124"/>
      <c r="G1393" s="39"/>
      <c r="H1393" s="48">
        <f t="shared" si="94"/>
        <v>1851.66</v>
      </c>
      <c r="I1393" s="43">
        <f t="shared" si="93"/>
        <v>1851.66</v>
      </c>
      <c r="J1393" s="38"/>
      <c r="K1393" s="65"/>
    </row>
    <row r="1394" spans="1:11" ht="12.75" outlineLevel="1" x14ac:dyDescent="0.2">
      <c r="A1394" s="51" t="s">
        <v>902</v>
      </c>
      <c r="B1394" s="108">
        <v>43191</v>
      </c>
      <c r="C1394" s="107">
        <v>43555</v>
      </c>
      <c r="D1394" s="188">
        <v>10</v>
      </c>
      <c r="E1394" s="124">
        <v>4340.3500000000004</v>
      </c>
      <c r="F1394" s="124">
        <v>1600</v>
      </c>
      <c r="G1394" s="39"/>
      <c r="H1394" s="48">
        <f t="shared" si="94"/>
        <v>5940.35</v>
      </c>
      <c r="I1394" s="43">
        <f t="shared" si="93"/>
        <v>5940.35</v>
      </c>
      <c r="J1394" s="38"/>
      <c r="K1394" s="65"/>
    </row>
    <row r="1395" spans="1:11" ht="12.75" outlineLevel="1" x14ac:dyDescent="0.2">
      <c r="A1395" s="51" t="s">
        <v>374</v>
      </c>
      <c r="B1395" s="108">
        <v>43160</v>
      </c>
      <c r="C1395" s="107">
        <v>43555</v>
      </c>
      <c r="D1395" s="188">
        <v>5</v>
      </c>
      <c r="E1395" s="124">
        <v>6035.25</v>
      </c>
      <c r="F1395" s="124"/>
      <c r="G1395" s="39"/>
      <c r="H1395" s="48">
        <f t="shared" si="94"/>
        <v>6035.25</v>
      </c>
      <c r="I1395" s="43">
        <f t="shared" si="93"/>
        <v>6035.25</v>
      </c>
      <c r="J1395" s="38"/>
      <c r="K1395" s="65"/>
    </row>
    <row r="1396" spans="1:11" ht="24" outlineLevel="1" x14ac:dyDescent="0.2">
      <c r="A1396" s="51" t="s">
        <v>105</v>
      </c>
      <c r="B1396" s="108">
        <v>42948</v>
      </c>
      <c r="C1396" s="107">
        <v>43465</v>
      </c>
      <c r="D1396" s="188">
        <v>10</v>
      </c>
      <c r="E1396" s="124">
        <v>7942.82</v>
      </c>
      <c r="F1396" s="124">
        <v>17000</v>
      </c>
      <c r="G1396" s="39"/>
      <c r="H1396" s="48">
        <f t="shared" si="94"/>
        <v>24942.82</v>
      </c>
      <c r="I1396" s="43">
        <f t="shared" si="93"/>
        <v>24942.82</v>
      </c>
      <c r="J1396" s="38"/>
      <c r="K1396" s="65"/>
    </row>
    <row r="1397" spans="1:11" ht="24" outlineLevel="1" x14ac:dyDescent="0.2">
      <c r="A1397" s="51" t="s">
        <v>903</v>
      </c>
      <c r="B1397" s="108">
        <v>43191</v>
      </c>
      <c r="C1397" s="107">
        <v>43465</v>
      </c>
      <c r="D1397" s="188">
        <v>5</v>
      </c>
      <c r="E1397" s="124">
        <v>1851.66</v>
      </c>
      <c r="F1397" s="124"/>
      <c r="G1397" s="39"/>
      <c r="H1397" s="48">
        <f t="shared" si="94"/>
        <v>1851.66</v>
      </c>
      <c r="I1397" s="43">
        <f t="shared" si="93"/>
        <v>1851.66</v>
      </c>
      <c r="J1397" s="38"/>
      <c r="K1397" s="65"/>
    </row>
    <row r="1398" spans="1:11" ht="12.75" outlineLevel="1" x14ac:dyDescent="0.2">
      <c r="A1398" s="51" t="s">
        <v>375</v>
      </c>
      <c r="B1398" s="108">
        <v>43160</v>
      </c>
      <c r="C1398" s="90">
        <v>43585</v>
      </c>
      <c r="D1398" s="188">
        <v>5</v>
      </c>
      <c r="E1398" s="124">
        <v>1929.04</v>
      </c>
      <c r="F1398" s="124"/>
      <c r="G1398" s="39"/>
      <c r="H1398" s="48">
        <f t="shared" si="94"/>
        <v>1929.04</v>
      </c>
      <c r="I1398" s="43">
        <f t="shared" si="93"/>
        <v>1929.04</v>
      </c>
      <c r="J1398" s="38"/>
      <c r="K1398" s="65"/>
    </row>
    <row r="1399" spans="1:11" ht="24" outlineLevel="1" x14ac:dyDescent="0.2">
      <c r="A1399" s="51" t="s">
        <v>251</v>
      </c>
      <c r="B1399" s="108">
        <v>43070</v>
      </c>
      <c r="C1399" s="107">
        <v>43404</v>
      </c>
      <c r="D1399" s="188">
        <v>5</v>
      </c>
      <c r="E1399" s="124">
        <v>1361.67</v>
      </c>
      <c r="F1399" s="124"/>
      <c r="G1399" s="39"/>
      <c r="H1399" s="48">
        <f t="shared" si="94"/>
        <v>1361.67</v>
      </c>
      <c r="I1399" s="43">
        <f t="shared" si="93"/>
        <v>1361.67</v>
      </c>
      <c r="J1399" s="38"/>
      <c r="K1399" s="65"/>
    </row>
    <row r="1400" spans="1:11" ht="24" outlineLevel="1" x14ac:dyDescent="0.2">
      <c r="A1400" s="51" t="s">
        <v>376</v>
      </c>
      <c r="B1400" s="108">
        <v>43160</v>
      </c>
      <c r="C1400" s="107">
        <v>43434</v>
      </c>
      <c r="D1400" s="188">
        <v>5</v>
      </c>
      <c r="E1400" s="124">
        <v>1929.04</v>
      </c>
      <c r="F1400" s="124"/>
      <c r="G1400" s="39"/>
      <c r="H1400" s="48">
        <f t="shared" si="94"/>
        <v>1929.04</v>
      </c>
      <c r="I1400" s="43">
        <f t="shared" si="93"/>
        <v>1929.04</v>
      </c>
      <c r="J1400" s="38"/>
      <c r="K1400" s="65"/>
    </row>
    <row r="1401" spans="1:11" ht="24" outlineLevel="1" x14ac:dyDescent="0.2">
      <c r="A1401" s="51" t="s">
        <v>1322</v>
      </c>
      <c r="B1401" s="108">
        <v>43282</v>
      </c>
      <c r="C1401" s="107">
        <v>43465</v>
      </c>
      <c r="D1401" s="188">
        <v>5</v>
      </c>
      <c r="E1401" s="124">
        <v>1851.66</v>
      </c>
      <c r="F1401" s="124"/>
      <c r="G1401" s="39"/>
      <c r="H1401" s="48">
        <f t="shared" si="94"/>
        <v>1851.66</v>
      </c>
      <c r="I1401" s="43">
        <f t="shared" si="93"/>
        <v>1851.66</v>
      </c>
      <c r="J1401" s="38"/>
      <c r="K1401" s="65"/>
    </row>
    <row r="1402" spans="1:11" ht="24" outlineLevel="1" x14ac:dyDescent="0.2">
      <c r="A1402" s="51" t="s">
        <v>377</v>
      </c>
      <c r="B1402" s="108">
        <v>43160</v>
      </c>
      <c r="C1402" s="107">
        <v>43404</v>
      </c>
      <c r="D1402" s="188">
        <v>10</v>
      </c>
      <c r="E1402" s="124">
        <v>4505.95</v>
      </c>
      <c r="F1402" s="124">
        <v>3200</v>
      </c>
      <c r="G1402" s="39"/>
      <c r="H1402" s="48">
        <f t="shared" si="94"/>
        <v>7705.95</v>
      </c>
      <c r="I1402" s="43">
        <f t="shared" si="93"/>
        <v>7705.95</v>
      </c>
      <c r="J1402" s="38"/>
      <c r="K1402" s="65"/>
    </row>
    <row r="1403" spans="1:11" ht="24" outlineLevel="1" x14ac:dyDescent="0.2">
      <c r="A1403" s="51" t="s">
        <v>904</v>
      </c>
      <c r="B1403" s="108">
        <v>43191</v>
      </c>
      <c r="C1403" s="107">
        <v>43555</v>
      </c>
      <c r="D1403" s="188">
        <v>5</v>
      </c>
      <c r="E1403" s="124">
        <v>1851.66</v>
      </c>
      <c r="F1403" s="124"/>
      <c r="G1403" s="39"/>
      <c r="H1403" s="48">
        <f t="shared" si="94"/>
        <v>1851.66</v>
      </c>
      <c r="I1403" s="43">
        <f t="shared" si="93"/>
        <v>1851.66</v>
      </c>
      <c r="J1403" s="38"/>
      <c r="K1403" s="65"/>
    </row>
    <row r="1404" spans="1:11" ht="24" outlineLevel="1" x14ac:dyDescent="0.2">
      <c r="A1404" s="51" t="s">
        <v>378</v>
      </c>
      <c r="B1404" s="108">
        <v>43101</v>
      </c>
      <c r="C1404" s="107">
        <v>43434</v>
      </c>
      <c r="D1404" s="188">
        <v>5</v>
      </c>
      <c r="E1404" s="124">
        <v>2411.2800000000002</v>
      </c>
      <c r="F1404" s="124"/>
      <c r="G1404" s="39"/>
      <c r="H1404" s="48">
        <f t="shared" si="94"/>
        <v>2411.2800000000002</v>
      </c>
      <c r="I1404" s="43">
        <f t="shared" si="93"/>
        <v>2411.2800000000002</v>
      </c>
      <c r="J1404" s="38"/>
      <c r="K1404" s="65"/>
    </row>
    <row r="1405" spans="1:11" ht="12.75" outlineLevel="1" x14ac:dyDescent="0.2">
      <c r="A1405" s="51" t="s">
        <v>379</v>
      </c>
      <c r="B1405" s="108">
        <v>43160</v>
      </c>
      <c r="C1405" s="107">
        <v>43465</v>
      </c>
      <c r="D1405" s="188">
        <v>5</v>
      </c>
      <c r="E1405" s="124">
        <v>2411.27</v>
      </c>
      <c r="F1405" s="124"/>
      <c r="G1405" s="39"/>
      <c r="H1405" s="48">
        <f t="shared" si="94"/>
        <v>2411.27</v>
      </c>
      <c r="I1405" s="43">
        <f t="shared" si="93"/>
        <v>2411.27</v>
      </c>
      <c r="J1405" s="38"/>
      <c r="K1405" s="65"/>
    </row>
    <row r="1406" spans="1:11" ht="24" outlineLevel="1" x14ac:dyDescent="0.2">
      <c r="A1406" s="51" t="s">
        <v>905</v>
      </c>
      <c r="B1406" s="108">
        <v>43221</v>
      </c>
      <c r="C1406" s="107">
        <v>43465</v>
      </c>
      <c r="D1406" s="188">
        <v>15</v>
      </c>
      <c r="E1406" s="124">
        <v>2314.6</v>
      </c>
      <c r="F1406" s="124">
        <v>13542</v>
      </c>
      <c r="G1406" s="39"/>
      <c r="H1406" s="48">
        <f t="shared" si="94"/>
        <v>15856.6</v>
      </c>
      <c r="I1406" s="43">
        <f t="shared" si="93"/>
        <v>15856.6</v>
      </c>
      <c r="J1406" s="38"/>
      <c r="K1406" s="65"/>
    </row>
    <row r="1407" spans="1:11" ht="12.75" outlineLevel="1" x14ac:dyDescent="0.2">
      <c r="A1407" s="51" t="s">
        <v>906</v>
      </c>
      <c r="B1407" s="108">
        <v>43252</v>
      </c>
      <c r="C1407" s="90">
        <v>43585</v>
      </c>
      <c r="D1407" s="188">
        <v>5</v>
      </c>
      <c r="E1407" s="124">
        <v>1851.66</v>
      </c>
      <c r="F1407" s="124"/>
      <c r="G1407" s="39"/>
      <c r="H1407" s="48">
        <f t="shared" si="94"/>
        <v>1851.66</v>
      </c>
      <c r="I1407" s="43">
        <f t="shared" si="93"/>
        <v>1851.66</v>
      </c>
      <c r="J1407" s="38"/>
      <c r="K1407" s="65"/>
    </row>
    <row r="1408" spans="1:11" ht="24" outlineLevel="1" x14ac:dyDescent="0.2">
      <c r="A1408" s="51" t="s">
        <v>1323</v>
      </c>
      <c r="B1408" s="108">
        <v>43344</v>
      </c>
      <c r="C1408" s="90">
        <v>43585</v>
      </c>
      <c r="D1408" s="188">
        <v>5</v>
      </c>
      <c r="E1408" s="124">
        <v>1851.67</v>
      </c>
      <c r="F1408" s="124"/>
      <c r="G1408" s="39"/>
      <c r="H1408" s="48">
        <f t="shared" si="94"/>
        <v>1851.67</v>
      </c>
      <c r="I1408" s="43">
        <f t="shared" si="93"/>
        <v>1851.67</v>
      </c>
      <c r="J1408" s="38"/>
      <c r="K1408" s="65"/>
    </row>
    <row r="1409" spans="1:11" ht="24" outlineLevel="1" x14ac:dyDescent="0.2">
      <c r="A1409" s="51" t="s">
        <v>380</v>
      </c>
      <c r="B1409" s="108">
        <v>43160</v>
      </c>
      <c r="C1409" s="90">
        <v>43555</v>
      </c>
      <c r="D1409" s="188">
        <v>5</v>
      </c>
      <c r="E1409" s="124">
        <v>972.63</v>
      </c>
      <c r="F1409" s="124"/>
      <c r="G1409" s="39"/>
      <c r="H1409" s="48">
        <f t="shared" si="94"/>
        <v>972.63</v>
      </c>
      <c r="I1409" s="43">
        <f t="shared" si="93"/>
        <v>972.63</v>
      </c>
      <c r="J1409" s="38"/>
      <c r="K1409" s="65"/>
    </row>
    <row r="1410" spans="1:11" ht="24" outlineLevel="1" x14ac:dyDescent="0.2">
      <c r="A1410" s="51" t="s">
        <v>907</v>
      </c>
      <c r="B1410" s="108">
        <v>43191</v>
      </c>
      <c r="C1410" s="90">
        <v>43555</v>
      </c>
      <c r="D1410" s="188">
        <v>5</v>
      </c>
      <c r="E1410" s="124">
        <v>1851.66</v>
      </c>
      <c r="F1410" s="124"/>
      <c r="G1410" s="39"/>
      <c r="H1410" s="48">
        <f t="shared" si="94"/>
        <v>1851.66</v>
      </c>
      <c r="I1410" s="43">
        <f t="shared" si="93"/>
        <v>1851.66</v>
      </c>
      <c r="J1410" s="38"/>
      <c r="K1410" s="65"/>
    </row>
    <row r="1411" spans="1:11" ht="24" outlineLevel="1" x14ac:dyDescent="0.2">
      <c r="A1411" s="51" t="s">
        <v>381</v>
      </c>
      <c r="B1411" s="108">
        <v>43101</v>
      </c>
      <c r="C1411" s="90">
        <v>43555</v>
      </c>
      <c r="D1411" s="188">
        <v>5</v>
      </c>
      <c r="E1411" s="124">
        <v>1929.04</v>
      </c>
      <c r="F1411" s="124"/>
      <c r="G1411" s="39"/>
      <c r="H1411" s="48">
        <f t="shared" si="94"/>
        <v>1929.04</v>
      </c>
      <c r="I1411" s="43">
        <f t="shared" si="93"/>
        <v>1929.04</v>
      </c>
      <c r="J1411" s="38"/>
      <c r="K1411" s="65"/>
    </row>
    <row r="1412" spans="1:11" ht="24" outlineLevel="1" x14ac:dyDescent="0.2">
      <c r="A1412" s="51" t="s">
        <v>1324</v>
      </c>
      <c r="B1412" s="108">
        <v>43344</v>
      </c>
      <c r="C1412" s="90">
        <v>43616</v>
      </c>
      <c r="D1412" s="188">
        <v>5</v>
      </c>
      <c r="E1412" s="124">
        <v>2314.6</v>
      </c>
      <c r="F1412" s="124"/>
      <c r="G1412" s="39"/>
      <c r="H1412" s="48">
        <f t="shared" si="94"/>
        <v>2314.6</v>
      </c>
      <c r="I1412" s="43">
        <f t="shared" si="93"/>
        <v>2314.6</v>
      </c>
      <c r="J1412" s="38"/>
      <c r="K1412" s="65"/>
    </row>
    <row r="1413" spans="1:11" ht="24" outlineLevel="1" x14ac:dyDescent="0.2">
      <c r="A1413" s="51" t="s">
        <v>1325</v>
      </c>
      <c r="B1413" s="108">
        <v>43282</v>
      </c>
      <c r="C1413" s="107">
        <v>43524</v>
      </c>
      <c r="D1413" s="188">
        <v>5</v>
      </c>
      <c r="E1413" s="124">
        <v>1851.66</v>
      </c>
      <c r="F1413" s="124"/>
      <c r="G1413" s="39"/>
      <c r="H1413" s="48">
        <f t="shared" si="94"/>
        <v>1851.66</v>
      </c>
      <c r="I1413" s="43">
        <f t="shared" si="93"/>
        <v>1851.66</v>
      </c>
      <c r="J1413" s="38"/>
      <c r="K1413" s="65"/>
    </row>
    <row r="1414" spans="1:11" ht="24" outlineLevel="1" x14ac:dyDescent="0.2">
      <c r="A1414" s="51" t="s">
        <v>106</v>
      </c>
      <c r="B1414" s="108">
        <v>42979</v>
      </c>
      <c r="C1414" s="90">
        <v>43555</v>
      </c>
      <c r="D1414" s="188">
        <v>10</v>
      </c>
      <c r="E1414" s="124">
        <v>5430.27</v>
      </c>
      <c r="F1414" s="140"/>
      <c r="G1414" s="39"/>
      <c r="H1414" s="48">
        <f t="shared" si="94"/>
        <v>5430.27</v>
      </c>
      <c r="I1414" s="43">
        <f t="shared" si="93"/>
        <v>5430.27</v>
      </c>
      <c r="J1414" s="38"/>
      <c r="K1414" s="65"/>
    </row>
    <row r="1415" spans="1:11" ht="24" outlineLevel="1" x14ac:dyDescent="0.2">
      <c r="A1415" s="51" t="s">
        <v>252</v>
      </c>
      <c r="B1415" s="108">
        <v>43040</v>
      </c>
      <c r="C1415" s="90">
        <v>43465</v>
      </c>
      <c r="D1415" s="188">
        <v>5</v>
      </c>
      <c r="E1415" s="124">
        <v>1929.05</v>
      </c>
      <c r="F1415" s="124"/>
      <c r="G1415" s="39"/>
      <c r="H1415" s="48">
        <f t="shared" si="94"/>
        <v>1929.05</v>
      </c>
      <c r="I1415" s="43">
        <f t="shared" si="93"/>
        <v>1929.05</v>
      </c>
      <c r="J1415" s="38"/>
      <c r="K1415" s="65"/>
    </row>
    <row r="1416" spans="1:11" ht="24" outlineLevel="1" x14ac:dyDescent="0.2">
      <c r="A1416" s="51" t="s">
        <v>1326</v>
      </c>
      <c r="B1416" s="108">
        <v>43313</v>
      </c>
      <c r="C1416" s="90">
        <v>43496</v>
      </c>
      <c r="D1416" s="188">
        <v>5</v>
      </c>
      <c r="E1416" s="124">
        <v>3923.65</v>
      </c>
      <c r="F1416" s="124"/>
      <c r="G1416" s="39"/>
      <c r="H1416" s="48">
        <f t="shared" si="94"/>
        <v>3923.65</v>
      </c>
      <c r="I1416" s="43">
        <f t="shared" si="93"/>
        <v>3923.65</v>
      </c>
      <c r="J1416" s="38"/>
      <c r="K1416" s="65"/>
    </row>
    <row r="1417" spans="1:11" ht="12.75" outlineLevel="1" x14ac:dyDescent="0.2">
      <c r="A1417" s="51" t="s">
        <v>1327</v>
      </c>
      <c r="B1417" s="108">
        <v>43313</v>
      </c>
      <c r="C1417" s="90">
        <v>43465</v>
      </c>
      <c r="D1417" s="188">
        <v>5</v>
      </c>
      <c r="E1417" s="124">
        <v>3923.65</v>
      </c>
      <c r="F1417" s="124"/>
      <c r="G1417" s="39"/>
      <c r="H1417" s="48">
        <f t="shared" si="94"/>
        <v>3923.65</v>
      </c>
      <c r="I1417" s="43">
        <f t="shared" si="93"/>
        <v>3923.65</v>
      </c>
      <c r="J1417" s="38"/>
      <c r="K1417" s="65"/>
    </row>
    <row r="1418" spans="1:11" ht="24" outlineLevel="1" x14ac:dyDescent="0.2">
      <c r="A1418" s="51" t="s">
        <v>908</v>
      </c>
      <c r="B1418" s="108">
        <v>43160</v>
      </c>
      <c r="C1418" s="90">
        <v>43465</v>
      </c>
      <c r="D1418" s="188">
        <v>5</v>
      </c>
      <c r="E1418" s="124">
        <v>2411.27</v>
      </c>
      <c r="F1418" s="124"/>
      <c r="G1418" s="39"/>
      <c r="H1418" s="48">
        <f t="shared" si="94"/>
        <v>2411.27</v>
      </c>
      <c r="I1418" s="43">
        <f t="shared" si="93"/>
        <v>2411.27</v>
      </c>
      <c r="J1418" s="38"/>
      <c r="K1418" s="65"/>
    </row>
    <row r="1419" spans="1:11" ht="24" outlineLevel="1" x14ac:dyDescent="0.2">
      <c r="A1419" s="51" t="s">
        <v>382</v>
      </c>
      <c r="B1419" s="108">
        <v>43160</v>
      </c>
      <c r="C1419" s="90">
        <v>43465</v>
      </c>
      <c r="D1419" s="188">
        <v>10</v>
      </c>
      <c r="E1419" s="124">
        <v>2269.46</v>
      </c>
      <c r="F1419" s="124">
        <v>15000</v>
      </c>
      <c r="G1419" s="39"/>
      <c r="H1419" s="48">
        <f t="shared" si="94"/>
        <v>17269.46</v>
      </c>
      <c r="I1419" s="43">
        <f t="shared" si="93"/>
        <v>17269.46</v>
      </c>
      <c r="J1419" s="38"/>
      <c r="K1419" s="65"/>
    </row>
    <row r="1420" spans="1:11" ht="24" outlineLevel="1" x14ac:dyDescent="0.2">
      <c r="A1420" s="51" t="s">
        <v>909</v>
      </c>
      <c r="B1420" s="108">
        <v>43221</v>
      </c>
      <c r="C1420" s="90">
        <v>43496</v>
      </c>
      <c r="D1420" s="188">
        <v>5</v>
      </c>
      <c r="E1420" s="124">
        <v>2314.66</v>
      </c>
      <c r="F1420" s="124"/>
      <c r="G1420" s="39"/>
      <c r="H1420" s="48">
        <f t="shared" si="94"/>
        <v>2314.66</v>
      </c>
      <c r="I1420" s="43">
        <f t="shared" si="93"/>
        <v>2314.66</v>
      </c>
      <c r="J1420" s="38"/>
      <c r="K1420" s="65"/>
    </row>
    <row r="1421" spans="1:11" ht="24" outlineLevel="1" x14ac:dyDescent="0.2">
      <c r="A1421" s="51" t="s">
        <v>383</v>
      </c>
      <c r="B1421" s="108">
        <v>43132</v>
      </c>
      <c r="C1421" s="107">
        <v>43524</v>
      </c>
      <c r="D1421" s="188">
        <v>5</v>
      </c>
      <c r="E1421" s="124">
        <v>1929.04</v>
      </c>
      <c r="F1421" s="124"/>
      <c r="G1421" s="39"/>
      <c r="H1421" s="48">
        <f t="shared" si="94"/>
        <v>1929.04</v>
      </c>
      <c r="I1421" s="43">
        <f t="shared" si="93"/>
        <v>1929.04</v>
      </c>
      <c r="J1421" s="38"/>
      <c r="K1421" s="65"/>
    </row>
    <row r="1422" spans="1:11" ht="12.75" outlineLevel="1" x14ac:dyDescent="0.2">
      <c r="A1422" s="51" t="s">
        <v>253</v>
      </c>
      <c r="B1422" s="108">
        <v>43070</v>
      </c>
      <c r="C1422" s="90">
        <v>43465</v>
      </c>
      <c r="D1422" s="188">
        <v>5</v>
      </c>
      <c r="E1422" s="124">
        <v>1929.04</v>
      </c>
      <c r="F1422" s="124"/>
      <c r="G1422" s="39"/>
      <c r="H1422" s="48">
        <f t="shared" si="94"/>
        <v>1929.04</v>
      </c>
      <c r="I1422" s="43">
        <f t="shared" si="93"/>
        <v>1929.04</v>
      </c>
      <c r="J1422" s="38"/>
      <c r="K1422" s="65"/>
    </row>
    <row r="1423" spans="1:11" ht="24" outlineLevel="1" x14ac:dyDescent="0.2">
      <c r="A1423" s="51" t="s">
        <v>1328</v>
      </c>
      <c r="B1423" s="108">
        <v>43344</v>
      </c>
      <c r="C1423" s="90">
        <v>43404</v>
      </c>
      <c r="D1423" s="188">
        <v>5</v>
      </c>
      <c r="E1423" s="124">
        <v>3036.07</v>
      </c>
      <c r="F1423" s="124"/>
      <c r="G1423" s="39"/>
      <c r="H1423" s="48">
        <f t="shared" si="94"/>
        <v>3036.07</v>
      </c>
      <c r="I1423" s="43">
        <f t="shared" si="93"/>
        <v>3036.07</v>
      </c>
      <c r="J1423" s="38"/>
      <c r="K1423" s="65"/>
    </row>
    <row r="1424" spans="1:11" ht="12.75" outlineLevel="1" x14ac:dyDescent="0.2">
      <c r="A1424" s="51" t="s">
        <v>1329</v>
      </c>
      <c r="B1424" s="108">
        <v>43344</v>
      </c>
      <c r="C1424" s="90">
        <v>43404</v>
      </c>
      <c r="D1424" s="188">
        <v>5</v>
      </c>
      <c r="E1424" s="124">
        <v>1633.83</v>
      </c>
      <c r="F1424" s="124"/>
      <c r="G1424" s="39"/>
      <c r="H1424" s="48">
        <f t="shared" si="94"/>
        <v>1633.83</v>
      </c>
      <c r="I1424" s="43">
        <f t="shared" si="93"/>
        <v>1633.83</v>
      </c>
      <c r="J1424" s="38"/>
      <c r="K1424" s="65"/>
    </row>
    <row r="1425" spans="1:11" ht="24" outlineLevel="1" x14ac:dyDescent="0.2">
      <c r="A1425" s="51" t="s">
        <v>254</v>
      </c>
      <c r="B1425" s="108">
        <v>43009</v>
      </c>
      <c r="C1425" s="107">
        <v>43524</v>
      </c>
      <c r="D1425" s="188">
        <v>10</v>
      </c>
      <c r="E1425" s="124">
        <v>7590.26</v>
      </c>
      <c r="F1425" s="124">
        <v>1600</v>
      </c>
      <c r="G1425" s="39"/>
      <c r="H1425" s="48">
        <f t="shared" si="94"/>
        <v>9190.26</v>
      </c>
      <c r="I1425" s="43">
        <f t="shared" si="93"/>
        <v>9190.26</v>
      </c>
      <c r="J1425" s="38"/>
      <c r="K1425" s="65"/>
    </row>
    <row r="1426" spans="1:11" ht="24" outlineLevel="1" x14ac:dyDescent="0.2">
      <c r="A1426" s="51" t="s">
        <v>384</v>
      </c>
      <c r="B1426" s="108">
        <v>43132</v>
      </c>
      <c r="C1426" s="107">
        <v>43404</v>
      </c>
      <c r="D1426" s="188">
        <v>10</v>
      </c>
      <c r="E1426" s="124">
        <v>5326.06</v>
      </c>
      <c r="F1426" s="124">
        <v>1600</v>
      </c>
      <c r="G1426" s="39"/>
      <c r="H1426" s="48">
        <f t="shared" si="94"/>
        <v>6926.06</v>
      </c>
      <c r="I1426" s="43">
        <f t="shared" si="93"/>
        <v>6926.06</v>
      </c>
      <c r="J1426" s="38"/>
      <c r="K1426" s="65"/>
    </row>
    <row r="1427" spans="1:11" ht="24" outlineLevel="1" x14ac:dyDescent="0.2">
      <c r="A1427" s="51" t="s">
        <v>1330</v>
      </c>
      <c r="B1427" s="108">
        <v>43344</v>
      </c>
      <c r="C1427" s="90">
        <v>43555</v>
      </c>
      <c r="D1427" s="188">
        <v>5</v>
      </c>
      <c r="E1427" s="124">
        <v>1851.67</v>
      </c>
      <c r="F1427" s="124"/>
      <c r="G1427" s="39"/>
      <c r="H1427" s="48">
        <f t="shared" si="94"/>
        <v>1851.67</v>
      </c>
      <c r="I1427" s="43">
        <f t="shared" si="93"/>
        <v>1851.67</v>
      </c>
      <c r="J1427" s="38"/>
      <c r="K1427" s="65"/>
    </row>
    <row r="1428" spans="1:11" ht="12.75" outlineLevel="1" x14ac:dyDescent="0.2">
      <c r="A1428" s="51" t="s">
        <v>385</v>
      </c>
      <c r="B1428" s="108">
        <v>43132</v>
      </c>
      <c r="C1428" s="90">
        <v>43555</v>
      </c>
      <c r="D1428" s="188">
        <v>5</v>
      </c>
      <c r="E1428" s="124">
        <v>3780.71</v>
      </c>
      <c r="F1428" s="124"/>
      <c r="G1428" s="39"/>
      <c r="H1428" s="48">
        <f t="shared" si="94"/>
        <v>3780.71</v>
      </c>
      <c r="I1428" s="43">
        <f t="shared" si="93"/>
        <v>3780.71</v>
      </c>
      <c r="J1428" s="38"/>
      <c r="K1428" s="65"/>
    </row>
    <row r="1429" spans="1:11" ht="24" outlineLevel="1" x14ac:dyDescent="0.2">
      <c r="A1429" s="51" t="s">
        <v>1331</v>
      </c>
      <c r="B1429" s="108">
        <v>43313</v>
      </c>
      <c r="C1429" s="90">
        <v>43555</v>
      </c>
      <c r="D1429" s="188">
        <v>5</v>
      </c>
      <c r="E1429" s="124">
        <v>3923.65</v>
      </c>
      <c r="F1429" s="124"/>
      <c r="G1429" s="39"/>
      <c r="H1429" s="48">
        <f t="shared" si="94"/>
        <v>3923.65</v>
      </c>
      <c r="I1429" s="43">
        <f t="shared" si="93"/>
        <v>3923.65</v>
      </c>
      <c r="J1429" s="38"/>
      <c r="K1429" s="65"/>
    </row>
    <row r="1430" spans="1:11" ht="12.75" outlineLevel="1" x14ac:dyDescent="0.2">
      <c r="A1430" s="51" t="s">
        <v>1332</v>
      </c>
      <c r="B1430" s="108">
        <v>43344</v>
      </c>
      <c r="C1430" s="107">
        <v>43524</v>
      </c>
      <c r="D1430" s="188">
        <v>5</v>
      </c>
      <c r="E1430" s="124">
        <v>1851.67</v>
      </c>
      <c r="F1430" s="124"/>
      <c r="G1430" s="39"/>
      <c r="H1430" s="48">
        <f t="shared" si="94"/>
        <v>1851.67</v>
      </c>
      <c r="I1430" s="43">
        <f t="shared" si="93"/>
        <v>1851.67</v>
      </c>
      <c r="J1430" s="38"/>
      <c r="K1430" s="65"/>
    </row>
    <row r="1431" spans="1:11" ht="12.75" outlineLevel="1" x14ac:dyDescent="0.2">
      <c r="A1431" s="51" t="s">
        <v>1333</v>
      </c>
      <c r="B1431" s="108">
        <v>43282</v>
      </c>
      <c r="C1431" s="90">
        <v>43434</v>
      </c>
      <c r="D1431" s="188">
        <v>5</v>
      </c>
      <c r="E1431" s="124">
        <v>1851.66</v>
      </c>
      <c r="F1431" s="124"/>
      <c r="G1431" s="39"/>
      <c r="H1431" s="48">
        <f t="shared" si="94"/>
        <v>1851.66</v>
      </c>
      <c r="I1431" s="43">
        <f t="shared" si="93"/>
        <v>1851.66</v>
      </c>
      <c r="J1431" s="38"/>
      <c r="K1431" s="65"/>
    </row>
    <row r="1432" spans="1:11" ht="24" outlineLevel="1" x14ac:dyDescent="0.2">
      <c r="A1432" s="51" t="s">
        <v>386</v>
      </c>
      <c r="B1432" s="108">
        <v>43132</v>
      </c>
      <c r="C1432" s="90">
        <v>43465</v>
      </c>
      <c r="D1432" s="188">
        <v>5</v>
      </c>
      <c r="E1432" s="124">
        <v>4340.33</v>
      </c>
      <c r="F1432" s="124"/>
      <c r="G1432" s="39"/>
      <c r="H1432" s="48">
        <f t="shared" si="94"/>
        <v>4340.33</v>
      </c>
      <c r="I1432" s="43">
        <f t="shared" si="93"/>
        <v>4340.33</v>
      </c>
      <c r="J1432" s="38"/>
      <c r="K1432" s="65"/>
    </row>
    <row r="1433" spans="1:11" ht="12.75" outlineLevel="1" x14ac:dyDescent="0.2">
      <c r="A1433" s="51" t="s">
        <v>1334</v>
      </c>
      <c r="B1433" s="108">
        <v>43344</v>
      </c>
      <c r="C1433" s="90">
        <v>43404</v>
      </c>
      <c r="D1433" s="188">
        <v>5</v>
      </c>
      <c r="E1433" s="124">
        <v>1633.84</v>
      </c>
      <c r="F1433" s="124"/>
      <c r="G1433" s="39"/>
      <c r="H1433" s="48">
        <f t="shared" si="94"/>
        <v>1633.84</v>
      </c>
      <c r="I1433" s="43">
        <f t="shared" si="93"/>
        <v>1633.84</v>
      </c>
      <c r="J1433" s="38"/>
      <c r="K1433" s="65"/>
    </row>
    <row r="1434" spans="1:11" ht="12.75" outlineLevel="1" x14ac:dyDescent="0.2">
      <c r="A1434" s="51" t="s">
        <v>1335</v>
      </c>
      <c r="B1434" s="108">
        <v>43344</v>
      </c>
      <c r="C1434" s="90">
        <v>43465</v>
      </c>
      <c r="D1434" s="188">
        <v>5</v>
      </c>
      <c r="E1434" s="124">
        <v>3119.97</v>
      </c>
      <c r="F1434" s="124"/>
      <c r="G1434" s="39"/>
      <c r="H1434" s="48">
        <f t="shared" si="94"/>
        <v>3119.97</v>
      </c>
      <c r="I1434" s="43">
        <f t="shared" si="93"/>
        <v>3119.97</v>
      </c>
      <c r="J1434" s="38"/>
      <c r="K1434" s="65"/>
    </row>
    <row r="1435" spans="1:11" ht="12.75" outlineLevel="1" x14ac:dyDescent="0.2">
      <c r="A1435" s="51" t="s">
        <v>1336</v>
      </c>
      <c r="B1435" s="108">
        <v>43313</v>
      </c>
      <c r="C1435" s="90">
        <v>43524</v>
      </c>
      <c r="D1435" s="188">
        <v>5</v>
      </c>
      <c r="E1435" s="124">
        <v>1851.66</v>
      </c>
      <c r="F1435" s="124"/>
      <c r="G1435" s="39"/>
      <c r="H1435" s="48">
        <f t="shared" si="94"/>
        <v>1851.66</v>
      </c>
      <c r="I1435" s="43">
        <f t="shared" si="93"/>
        <v>1851.66</v>
      </c>
      <c r="J1435" s="38"/>
      <c r="K1435" s="65"/>
    </row>
    <row r="1436" spans="1:11" ht="24" outlineLevel="1" x14ac:dyDescent="0.2">
      <c r="A1436" s="51" t="s">
        <v>1337</v>
      </c>
      <c r="B1436" s="108">
        <v>43344</v>
      </c>
      <c r="C1436" s="90">
        <v>43616</v>
      </c>
      <c r="D1436" s="188">
        <v>5</v>
      </c>
      <c r="E1436" s="124">
        <v>1851.67</v>
      </c>
      <c r="F1436" s="124"/>
      <c r="G1436" s="39"/>
      <c r="H1436" s="48">
        <f t="shared" si="94"/>
        <v>1851.67</v>
      </c>
      <c r="I1436" s="43">
        <f t="shared" si="93"/>
        <v>1851.67</v>
      </c>
      <c r="J1436" s="38"/>
      <c r="K1436" s="65"/>
    </row>
    <row r="1437" spans="1:11" ht="24" outlineLevel="1" x14ac:dyDescent="0.2">
      <c r="A1437" s="51" t="s">
        <v>910</v>
      </c>
      <c r="B1437" s="108">
        <v>43252</v>
      </c>
      <c r="C1437" s="90">
        <v>43524</v>
      </c>
      <c r="D1437" s="188">
        <v>5</v>
      </c>
      <c r="E1437" s="124">
        <v>1851.66</v>
      </c>
      <c r="F1437" s="124"/>
      <c r="G1437" s="39"/>
      <c r="H1437" s="48">
        <f t="shared" si="94"/>
        <v>1851.66</v>
      </c>
      <c r="I1437" s="43">
        <f t="shared" si="93"/>
        <v>1851.66</v>
      </c>
      <c r="J1437" s="38"/>
      <c r="K1437" s="65"/>
    </row>
    <row r="1438" spans="1:11" ht="12.75" outlineLevel="1" x14ac:dyDescent="0.2">
      <c r="A1438" s="51" t="s">
        <v>911</v>
      </c>
      <c r="B1438" s="108">
        <v>43191</v>
      </c>
      <c r="C1438" s="90">
        <v>43404</v>
      </c>
      <c r="D1438" s="188">
        <v>10</v>
      </c>
      <c r="E1438" s="124">
        <v>972.63</v>
      </c>
      <c r="F1438" s="124">
        <v>1600</v>
      </c>
      <c r="G1438" s="39"/>
      <c r="H1438" s="48">
        <f t="shared" si="94"/>
        <v>2572.63</v>
      </c>
      <c r="I1438" s="43">
        <f t="shared" si="93"/>
        <v>2572.63</v>
      </c>
      <c r="J1438" s="38"/>
      <c r="K1438" s="65"/>
    </row>
    <row r="1439" spans="1:11" ht="12.75" outlineLevel="1" x14ac:dyDescent="0.2">
      <c r="A1439" s="51" t="s">
        <v>387</v>
      </c>
      <c r="B1439" s="108">
        <v>43160</v>
      </c>
      <c r="C1439" s="90">
        <v>43465</v>
      </c>
      <c r="D1439" s="188">
        <v>35</v>
      </c>
      <c r="E1439" s="124">
        <v>5091.92</v>
      </c>
      <c r="F1439" s="124">
        <v>94087.09</v>
      </c>
      <c r="G1439" s="39"/>
      <c r="H1439" s="48">
        <f t="shared" si="94"/>
        <v>99179.01</v>
      </c>
      <c r="I1439" s="43">
        <f t="shared" si="93"/>
        <v>99179.01</v>
      </c>
      <c r="J1439" s="38"/>
      <c r="K1439" s="65"/>
    </row>
    <row r="1440" spans="1:11" ht="12.75" outlineLevel="1" x14ac:dyDescent="0.2">
      <c r="A1440" s="51" t="s">
        <v>1338</v>
      </c>
      <c r="B1440" s="108">
        <v>43344</v>
      </c>
      <c r="C1440" s="90">
        <v>43496</v>
      </c>
      <c r="D1440" s="188">
        <v>5</v>
      </c>
      <c r="E1440" s="124">
        <v>1307.07</v>
      </c>
      <c r="F1440" s="124"/>
      <c r="G1440" s="39"/>
      <c r="H1440" s="48">
        <f t="shared" si="94"/>
        <v>1307.07</v>
      </c>
      <c r="I1440" s="43">
        <f t="shared" si="93"/>
        <v>1307.07</v>
      </c>
      <c r="J1440" s="38"/>
      <c r="K1440" s="65"/>
    </row>
    <row r="1441" spans="1:11" ht="12.75" outlineLevel="1" x14ac:dyDescent="0.2">
      <c r="A1441" s="51" t="s">
        <v>912</v>
      </c>
      <c r="B1441" s="108">
        <v>43252</v>
      </c>
      <c r="C1441" s="90">
        <v>43404</v>
      </c>
      <c r="D1441" s="188">
        <v>5</v>
      </c>
      <c r="E1441" s="124">
        <v>2314.6</v>
      </c>
      <c r="F1441" s="124"/>
      <c r="G1441" s="39"/>
      <c r="H1441" s="48">
        <f t="shared" si="94"/>
        <v>2314.6</v>
      </c>
      <c r="I1441" s="43">
        <f t="shared" si="93"/>
        <v>2314.6</v>
      </c>
      <c r="J1441" s="38"/>
      <c r="K1441" s="65"/>
    </row>
    <row r="1442" spans="1:11" ht="24" outlineLevel="1" x14ac:dyDescent="0.2">
      <c r="A1442" s="51" t="s">
        <v>107</v>
      </c>
      <c r="B1442" s="108">
        <v>42887</v>
      </c>
      <c r="C1442" s="107">
        <v>43404</v>
      </c>
      <c r="D1442" s="188">
        <v>15</v>
      </c>
      <c r="E1442" s="124">
        <v>2411.2800000000002</v>
      </c>
      <c r="F1442" s="137">
        <v>16200</v>
      </c>
      <c r="G1442" s="39"/>
      <c r="H1442" s="48">
        <f t="shared" si="94"/>
        <v>18611.28</v>
      </c>
      <c r="I1442" s="43">
        <f t="shared" si="93"/>
        <v>18611.28</v>
      </c>
      <c r="J1442" s="65"/>
      <c r="K1442" s="65"/>
    </row>
    <row r="1443" spans="1:11" ht="24" outlineLevel="1" x14ac:dyDescent="0.2">
      <c r="A1443" s="51" t="s">
        <v>913</v>
      </c>
      <c r="B1443" s="108">
        <v>43221</v>
      </c>
      <c r="C1443" s="90">
        <v>43555</v>
      </c>
      <c r="D1443" s="188">
        <v>5</v>
      </c>
      <c r="E1443" s="124">
        <v>1851.66</v>
      </c>
      <c r="F1443" s="124"/>
      <c r="G1443" s="39"/>
      <c r="H1443" s="48">
        <f t="shared" si="94"/>
        <v>1851.66</v>
      </c>
      <c r="I1443" s="43">
        <f t="shared" si="93"/>
        <v>1851.66</v>
      </c>
      <c r="J1443" s="38"/>
      <c r="K1443" s="65"/>
    </row>
    <row r="1444" spans="1:11" ht="12.75" outlineLevel="1" x14ac:dyDescent="0.2">
      <c r="A1444" s="51" t="s">
        <v>1339</v>
      </c>
      <c r="B1444" s="108">
        <v>43344</v>
      </c>
      <c r="C1444" s="90">
        <v>43555</v>
      </c>
      <c r="D1444" s="188">
        <v>5</v>
      </c>
      <c r="E1444" s="124">
        <v>1307.07</v>
      </c>
      <c r="F1444" s="124"/>
      <c r="G1444" s="39"/>
      <c r="H1444" s="48">
        <f t="shared" si="94"/>
        <v>1307.07</v>
      </c>
      <c r="I1444" s="43">
        <f t="shared" si="93"/>
        <v>1307.07</v>
      </c>
      <c r="J1444" s="38"/>
      <c r="K1444" s="65"/>
    </row>
    <row r="1445" spans="1:11" ht="12.75" outlineLevel="1" x14ac:dyDescent="0.2">
      <c r="A1445" s="51" t="s">
        <v>1340</v>
      </c>
      <c r="B1445" s="108">
        <v>43282</v>
      </c>
      <c r="C1445" s="90">
        <v>43616</v>
      </c>
      <c r="D1445" s="188">
        <v>15</v>
      </c>
      <c r="E1445" s="124">
        <v>5158.25</v>
      </c>
      <c r="F1445" s="124">
        <v>14447</v>
      </c>
      <c r="G1445" s="39"/>
      <c r="H1445" s="48">
        <f t="shared" si="94"/>
        <v>19605.25</v>
      </c>
      <c r="I1445" s="43">
        <f t="shared" si="93"/>
        <v>19605.25</v>
      </c>
      <c r="J1445" s="38"/>
      <c r="K1445" s="65"/>
    </row>
    <row r="1446" spans="1:11" ht="24" outlineLevel="1" x14ac:dyDescent="0.2">
      <c r="A1446" s="51" t="s">
        <v>1341</v>
      </c>
      <c r="B1446" s="108">
        <v>43282</v>
      </c>
      <c r="C1446" s="107">
        <v>43830</v>
      </c>
      <c r="D1446" s="188">
        <v>10</v>
      </c>
      <c r="E1446" s="124"/>
      <c r="F1446" s="124">
        <v>14599</v>
      </c>
      <c r="G1446" s="39"/>
      <c r="H1446" s="48">
        <f t="shared" si="94"/>
        <v>14599</v>
      </c>
      <c r="I1446" s="43">
        <f t="shared" si="93"/>
        <v>14599</v>
      </c>
      <c r="J1446" s="65"/>
      <c r="K1446" s="65"/>
    </row>
    <row r="1447" spans="1:11" ht="12.75" outlineLevel="1" x14ac:dyDescent="0.2">
      <c r="A1447" s="51" t="s">
        <v>914</v>
      </c>
      <c r="B1447" s="108">
        <v>43252</v>
      </c>
      <c r="C1447" s="107">
        <v>43524</v>
      </c>
      <c r="D1447" s="188">
        <v>5</v>
      </c>
      <c r="E1447" s="124">
        <v>1851.66</v>
      </c>
      <c r="F1447" s="124"/>
      <c r="G1447" s="39"/>
      <c r="H1447" s="48">
        <f t="shared" si="94"/>
        <v>1851.66</v>
      </c>
      <c r="I1447" s="43">
        <f t="shared" si="93"/>
        <v>1851.66</v>
      </c>
      <c r="J1447" s="65"/>
      <c r="K1447" s="65"/>
    </row>
    <row r="1448" spans="1:11" ht="12.75" outlineLevel="1" x14ac:dyDescent="0.2">
      <c r="A1448" s="51" t="s">
        <v>915</v>
      </c>
      <c r="B1448" s="108">
        <v>43252</v>
      </c>
      <c r="C1448" s="107">
        <v>43524</v>
      </c>
      <c r="D1448" s="188">
        <v>10</v>
      </c>
      <c r="E1448" s="124">
        <v>1851.66</v>
      </c>
      <c r="F1448" s="124">
        <v>1600</v>
      </c>
      <c r="G1448" s="39"/>
      <c r="H1448" s="48">
        <f t="shared" si="94"/>
        <v>3451.66</v>
      </c>
      <c r="I1448" s="43">
        <f t="shared" si="93"/>
        <v>3451.66</v>
      </c>
      <c r="J1448" s="38"/>
      <c r="K1448" s="65"/>
    </row>
    <row r="1449" spans="1:11" ht="24" outlineLevel="1" x14ac:dyDescent="0.2">
      <c r="A1449" s="51" t="s">
        <v>1342</v>
      </c>
      <c r="B1449" s="108">
        <v>43344</v>
      </c>
      <c r="C1449" s="90">
        <v>43646</v>
      </c>
      <c r="D1449" s="188">
        <v>5</v>
      </c>
      <c r="E1449" s="124">
        <v>3262.6</v>
      </c>
      <c r="F1449" s="124"/>
      <c r="G1449" s="39"/>
      <c r="H1449" s="48">
        <f t="shared" si="94"/>
        <v>3262.6</v>
      </c>
      <c r="I1449" s="43">
        <f t="shared" ref="I1449:I1512" si="95">H1449</f>
        <v>3262.6</v>
      </c>
      <c r="J1449" s="38"/>
      <c r="K1449" s="65"/>
    </row>
    <row r="1450" spans="1:11" ht="24" outlineLevel="1" x14ac:dyDescent="0.2">
      <c r="A1450" s="51" t="s">
        <v>108</v>
      </c>
      <c r="B1450" s="108">
        <v>42856</v>
      </c>
      <c r="C1450" s="107">
        <v>43465</v>
      </c>
      <c r="D1450" s="188">
        <v>5</v>
      </c>
      <c r="E1450" s="124">
        <v>8590.57</v>
      </c>
      <c r="F1450" s="140"/>
      <c r="G1450" s="39"/>
      <c r="H1450" s="48">
        <f t="shared" ref="H1450:H1513" si="96">E1450+F1450</f>
        <v>8590.57</v>
      </c>
      <c r="I1450" s="43">
        <f t="shared" si="95"/>
        <v>8590.57</v>
      </c>
      <c r="J1450" s="38"/>
      <c r="K1450" s="65"/>
    </row>
    <row r="1451" spans="1:11" ht="24" outlineLevel="1" x14ac:dyDescent="0.2">
      <c r="A1451" s="51" t="s">
        <v>109</v>
      </c>
      <c r="B1451" s="108">
        <v>42826</v>
      </c>
      <c r="C1451" s="107">
        <v>43524</v>
      </c>
      <c r="D1451" s="188">
        <v>15</v>
      </c>
      <c r="E1451" s="124">
        <v>9432.7800000000007</v>
      </c>
      <c r="F1451" s="140">
        <v>45000</v>
      </c>
      <c r="G1451" s="39"/>
      <c r="H1451" s="48">
        <f t="shared" si="96"/>
        <v>54432.78</v>
      </c>
      <c r="I1451" s="43">
        <f t="shared" si="95"/>
        <v>54432.78</v>
      </c>
      <c r="J1451" s="38"/>
      <c r="K1451" s="65"/>
    </row>
    <row r="1452" spans="1:11" ht="24" outlineLevel="1" x14ac:dyDescent="0.2">
      <c r="A1452" s="51" t="s">
        <v>255</v>
      </c>
      <c r="B1452" s="108">
        <v>43070</v>
      </c>
      <c r="C1452" s="90">
        <v>43616</v>
      </c>
      <c r="D1452" s="188">
        <v>5</v>
      </c>
      <c r="E1452" s="124">
        <v>1929.04</v>
      </c>
      <c r="F1452" s="124"/>
      <c r="G1452" s="39"/>
      <c r="H1452" s="48">
        <f t="shared" si="96"/>
        <v>1929.04</v>
      </c>
      <c r="I1452" s="43">
        <f t="shared" si="95"/>
        <v>1929.04</v>
      </c>
      <c r="J1452" s="38"/>
      <c r="K1452" s="65"/>
    </row>
    <row r="1453" spans="1:11" ht="12.75" outlineLevel="1" x14ac:dyDescent="0.2">
      <c r="A1453" s="51" t="s">
        <v>388</v>
      </c>
      <c r="B1453" s="108">
        <v>43101</v>
      </c>
      <c r="C1453" s="107">
        <v>43404</v>
      </c>
      <c r="D1453" s="188">
        <v>5</v>
      </c>
      <c r="E1453" s="124">
        <v>1929.04</v>
      </c>
      <c r="F1453" s="124"/>
      <c r="G1453" s="39"/>
      <c r="H1453" s="48">
        <f t="shared" si="96"/>
        <v>1929.04</v>
      </c>
      <c r="I1453" s="43">
        <f t="shared" si="95"/>
        <v>1929.04</v>
      </c>
      <c r="J1453" s="38"/>
      <c r="K1453" s="65"/>
    </row>
    <row r="1454" spans="1:11" ht="24" outlineLevel="1" x14ac:dyDescent="0.2">
      <c r="A1454" s="51" t="s">
        <v>1343</v>
      </c>
      <c r="B1454" s="108">
        <v>43313</v>
      </c>
      <c r="C1454" s="90">
        <v>43585</v>
      </c>
      <c r="D1454" s="188">
        <v>5</v>
      </c>
      <c r="E1454" s="124">
        <v>5557.49</v>
      </c>
      <c r="F1454" s="124"/>
      <c r="G1454" s="39"/>
      <c r="H1454" s="48">
        <f t="shared" si="96"/>
        <v>5557.49</v>
      </c>
      <c r="I1454" s="43">
        <f t="shared" si="95"/>
        <v>5557.49</v>
      </c>
      <c r="J1454" s="38"/>
      <c r="K1454" s="65"/>
    </row>
    <row r="1455" spans="1:11" ht="24" outlineLevel="1" x14ac:dyDescent="0.2">
      <c r="A1455" s="51" t="s">
        <v>389</v>
      </c>
      <c r="B1455" s="108">
        <v>43132</v>
      </c>
      <c r="C1455" s="107">
        <v>43404</v>
      </c>
      <c r="D1455" s="188">
        <v>10</v>
      </c>
      <c r="E1455" s="124">
        <v>4839.75</v>
      </c>
      <c r="F1455" s="124">
        <v>1600</v>
      </c>
      <c r="G1455" s="39"/>
      <c r="H1455" s="48">
        <f t="shared" si="96"/>
        <v>6439.75</v>
      </c>
      <c r="I1455" s="43">
        <f t="shared" si="95"/>
        <v>6439.75</v>
      </c>
      <c r="J1455" s="38"/>
      <c r="K1455" s="65"/>
    </row>
    <row r="1456" spans="1:11" ht="24" outlineLevel="1" x14ac:dyDescent="0.2">
      <c r="A1456" s="51" t="s">
        <v>256</v>
      </c>
      <c r="B1456" s="108">
        <v>43070</v>
      </c>
      <c r="C1456" s="90">
        <v>43555</v>
      </c>
      <c r="D1456" s="188">
        <v>5</v>
      </c>
      <c r="E1456" s="124">
        <v>1929.04</v>
      </c>
      <c r="F1456" s="124"/>
      <c r="G1456" s="39"/>
      <c r="H1456" s="48">
        <f t="shared" si="96"/>
        <v>1929.04</v>
      </c>
      <c r="I1456" s="43">
        <f t="shared" si="95"/>
        <v>1929.04</v>
      </c>
      <c r="J1456" s="38"/>
      <c r="K1456" s="65"/>
    </row>
    <row r="1457" spans="1:11" ht="24" outlineLevel="1" x14ac:dyDescent="0.2">
      <c r="A1457" s="51" t="s">
        <v>110</v>
      </c>
      <c r="B1457" s="108">
        <v>42948</v>
      </c>
      <c r="C1457" s="107">
        <v>43465</v>
      </c>
      <c r="D1457" s="188">
        <v>25</v>
      </c>
      <c r="E1457" s="124">
        <v>8299.4699999999993</v>
      </c>
      <c r="F1457" s="140">
        <v>86952.01</v>
      </c>
      <c r="G1457" s="39"/>
      <c r="H1457" s="48">
        <f t="shared" si="96"/>
        <v>95251.48</v>
      </c>
      <c r="I1457" s="43">
        <f t="shared" si="95"/>
        <v>95251.48</v>
      </c>
      <c r="J1457" s="38"/>
      <c r="K1457" s="65"/>
    </row>
    <row r="1458" spans="1:11" ht="24" outlineLevel="1" x14ac:dyDescent="0.2">
      <c r="A1458" s="51" t="s">
        <v>916</v>
      </c>
      <c r="B1458" s="108">
        <v>43221</v>
      </c>
      <c r="C1458" s="90">
        <v>43616</v>
      </c>
      <c r="D1458" s="188">
        <v>10</v>
      </c>
      <c r="E1458" s="124"/>
      <c r="F1458" s="124">
        <v>15035</v>
      </c>
      <c r="G1458" s="39"/>
      <c r="H1458" s="48">
        <f t="shared" si="96"/>
        <v>15035</v>
      </c>
      <c r="I1458" s="43">
        <f t="shared" si="95"/>
        <v>15035</v>
      </c>
      <c r="J1458" s="38"/>
      <c r="K1458" s="65"/>
    </row>
    <row r="1459" spans="1:11" ht="24" outlineLevel="1" x14ac:dyDescent="0.2">
      <c r="A1459" s="51" t="s">
        <v>917</v>
      </c>
      <c r="B1459" s="108">
        <v>43252</v>
      </c>
      <c r="C1459" s="90">
        <v>43646</v>
      </c>
      <c r="D1459" s="188">
        <v>5</v>
      </c>
      <c r="E1459" s="124">
        <v>2314.6</v>
      </c>
      <c r="F1459" s="124"/>
      <c r="G1459" s="39"/>
      <c r="H1459" s="48">
        <f t="shared" si="96"/>
        <v>2314.6</v>
      </c>
      <c r="I1459" s="43">
        <f t="shared" si="95"/>
        <v>2314.6</v>
      </c>
      <c r="J1459" s="38"/>
      <c r="K1459" s="65"/>
    </row>
    <row r="1460" spans="1:11" ht="36" outlineLevel="1" x14ac:dyDescent="0.2">
      <c r="A1460" s="51" t="s">
        <v>918</v>
      </c>
      <c r="B1460" s="108">
        <v>43221</v>
      </c>
      <c r="C1460" s="90">
        <v>43616</v>
      </c>
      <c r="D1460" s="188">
        <v>15</v>
      </c>
      <c r="E1460" s="124">
        <v>8089.95</v>
      </c>
      <c r="F1460" s="124">
        <v>18181</v>
      </c>
      <c r="G1460" s="39"/>
      <c r="H1460" s="48">
        <f t="shared" si="96"/>
        <v>26270.95</v>
      </c>
      <c r="I1460" s="43">
        <f t="shared" si="95"/>
        <v>26270.95</v>
      </c>
      <c r="J1460" s="38"/>
      <c r="K1460" s="65"/>
    </row>
    <row r="1461" spans="1:11" ht="12.75" outlineLevel="1" x14ac:dyDescent="0.2">
      <c r="A1461" s="51" t="s">
        <v>390</v>
      </c>
      <c r="B1461" s="108">
        <v>43160</v>
      </c>
      <c r="C1461" s="90">
        <v>43496</v>
      </c>
      <c r="D1461" s="188">
        <v>10</v>
      </c>
      <c r="E1461" s="124">
        <v>5001.8599999999997</v>
      </c>
      <c r="F1461" s="124"/>
      <c r="G1461" s="39"/>
      <c r="H1461" s="48">
        <f t="shared" si="96"/>
        <v>5001.8599999999997</v>
      </c>
      <c r="I1461" s="43">
        <f t="shared" si="95"/>
        <v>5001.8599999999997</v>
      </c>
      <c r="J1461" s="38"/>
      <c r="K1461" s="65"/>
    </row>
    <row r="1462" spans="1:11" ht="24" outlineLevel="1" x14ac:dyDescent="0.2">
      <c r="A1462" s="51" t="s">
        <v>1344</v>
      </c>
      <c r="B1462" s="108">
        <v>43344</v>
      </c>
      <c r="C1462" s="90">
        <v>43585</v>
      </c>
      <c r="D1462" s="188">
        <v>5</v>
      </c>
      <c r="E1462" s="124">
        <v>2314.6</v>
      </c>
      <c r="F1462" s="124"/>
      <c r="G1462" s="39"/>
      <c r="H1462" s="48">
        <f t="shared" si="96"/>
        <v>2314.6</v>
      </c>
      <c r="I1462" s="43">
        <f t="shared" si="95"/>
        <v>2314.6</v>
      </c>
      <c r="J1462" s="38"/>
      <c r="K1462" s="65"/>
    </row>
    <row r="1463" spans="1:11" ht="24" outlineLevel="1" x14ac:dyDescent="0.2">
      <c r="A1463" s="51" t="s">
        <v>1345</v>
      </c>
      <c r="B1463" s="108">
        <v>43313</v>
      </c>
      <c r="C1463" s="90">
        <v>43616</v>
      </c>
      <c r="D1463" s="188">
        <v>5</v>
      </c>
      <c r="E1463" s="124">
        <v>3923.65</v>
      </c>
      <c r="F1463" s="124"/>
      <c r="G1463" s="39"/>
      <c r="H1463" s="48">
        <f t="shared" si="96"/>
        <v>3923.65</v>
      </c>
      <c r="I1463" s="43">
        <f t="shared" si="95"/>
        <v>3923.65</v>
      </c>
      <c r="J1463" s="38"/>
      <c r="K1463" s="65"/>
    </row>
    <row r="1464" spans="1:11" ht="24" outlineLevel="1" x14ac:dyDescent="0.2">
      <c r="A1464" s="51" t="s">
        <v>919</v>
      </c>
      <c r="B1464" s="108">
        <v>43221</v>
      </c>
      <c r="C1464" s="90">
        <v>43496</v>
      </c>
      <c r="D1464" s="188">
        <v>10</v>
      </c>
      <c r="E1464" s="124">
        <v>2660.1</v>
      </c>
      <c r="F1464" s="124">
        <v>1600</v>
      </c>
      <c r="G1464" s="39"/>
      <c r="H1464" s="48">
        <f t="shared" si="96"/>
        <v>4260.1000000000004</v>
      </c>
      <c r="I1464" s="43">
        <f t="shared" si="95"/>
        <v>4260.1000000000004</v>
      </c>
      <c r="J1464" s="38"/>
      <c r="K1464" s="65"/>
    </row>
    <row r="1465" spans="1:11" ht="24" outlineLevel="1" x14ac:dyDescent="0.2">
      <c r="A1465" s="51" t="s">
        <v>920</v>
      </c>
      <c r="B1465" s="108">
        <v>43252</v>
      </c>
      <c r="C1465" s="90">
        <v>43496</v>
      </c>
      <c r="D1465" s="188">
        <v>5</v>
      </c>
      <c r="E1465" s="124">
        <v>1633.83</v>
      </c>
      <c r="F1465" s="124"/>
      <c r="G1465" s="39"/>
      <c r="H1465" s="48">
        <f t="shared" si="96"/>
        <v>1633.83</v>
      </c>
      <c r="I1465" s="43">
        <f t="shared" si="95"/>
        <v>1633.83</v>
      </c>
      <c r="J1465" s="38"/>
      <c r="K1465" s="65"/>
    </row>
    <row r="1466" spans="1:11" ht="12.75" outlineLevel="1" x14ac:dyDescent="0.2">
      <c r="A1466" s="51" t="s">
        <v>921</v>
      </c>
      <c r="B1466" s="108">
        <v>43221</v>
      </c>
      <c r="C1466" s="107">
        <v>43434</v>
      </c>
      <c r="D1466" s="188">
        <v>15</v>
      </c>
      <c r="E1466" s="124">
        <v>3153.67</v>
      </c>
      <c r="F1466" s="124">
        <v>13542</v>
      </c>
      <c r="G1466" s="39"/>
      <c r="H1466" s="48">
        <f t="shared" si="96"/>
        <v>16695.669999999998</v>
      </c>
      <c r="I1466" s="43">
        <f t="shared" si="95"/>
        <v>16695.669999999998</v>
      </c>
      <c r="J1466" s="38"/>
      <c r="K1466" s="65"/>
    </row>
    <row r="1467" spans="1:11" ht="12.75" outlineLevel="1" x14ac:dyDescent="0.2">
      <c r="A1467" s="51" t="s">
        <v>391</v>
      </c>
      <c r="B1467" s="108">
        <v>43132</v>
      </c>
      <c r="C1467" s="107">
        <v>43434</v>
      </c>
      <c r="D1467" s="188">
        <v>5</v>
      </c>
      <c r="E1467" s="124">
        <v>2411.2800000000002</v>
      </c>
      <c r="F1467" s="124"/>
      <c r="G1467" s="39"/>
      <c r="H1467" s="48">
        <f t="shared" si="96"/>
        <v>2411.2800000000002</v>
      </c>
      <c r="I1467" s="43">
        <f t="shared" si="95"/>
        <v>2411.2800000000002</v>
      </c>
      <c r="J1467" s="38"/>
      <c r="K1467" s="65"/>
    </row>
    <row r="1468" spans="1:11" ht="24" outlineLevel="1" x14ac:dyDescent="0.2">
      <c r="A1468" s="51" t="s">
        <v>111</v>
      </c>
      <c r="B1468" s="108">
        <v>42826</v>
      </c>
      <c r="C1468" s="107">
        <v>43465</v>
      </c>
      <c r="D1468" s="188">
        <v>5</v>
      </c>
      <c r="E1468" s="124">
        <v>8299.4599999999991</v>
      </c>
      <c r="F1468" s="140"/>
      <c r="G1468" s="39"/>
      <c r="H1468" s="48">
        <f t="shared" si="96"/>
        <v>8299.4599999999991</v>
      </c>
      <c r="I1468" s="43">
        <f t="shared" si="95"/>
        <v>8299.4599999999991</v>
      </c>
      <c r="J1468" s="38"/>
      <c r="K1468" s="65"/>
    </row>
    <row r="1469" spans="1:11" ht="24" outlineLevel="1" x14ac:dyDescent="0.2">
      <c r="A1469" s="51" t="s">
        <v>1346</v>
      </c>
      <c r="B1469" s="108">
        <v>43282</v>
      </c>
      <c r="C1469" s="107">
        <v>43465</v>
      </c>
      <c r="D1469" s="188">
        <v>5</v>
      </c>
      <c r="E1469" s="124">
        <v>1633.83</v>
      </c>
      <c r="F1469" s="124"/>
      <c r="G1469" s="39"/>
      <c r="H1469" s="48">
        <f t="shared" si="96"/>
        <v>1633.83</v>
      </c>
      <c r="I1469" s="43">
        <f t="shared" si="95"/>
        <v>1633.83</v>
      </c>
      <c r="J1469" s="38"/>
      <c r="K1469" s="65"/>
    </row>
    <row r="1470" spans="1:11" ht="24" outlineLevel="1" x14ac:dyDescent="0.2">
      <c r="A1470" s="51" t="s">
        <v>922</v>
      </c>
      <c r="B1470" s="108">
        <v>43221</v>
      </c>
      <c r="C1470" s="107">
        <v>43524</v>
      </c>
      <c r="D1470" s="188">
        <v>5</v>
      </c>
      <c r="E1470" s="124">
        <v>5938.58</v>
      </c>
      <c r="F1470" s="124"/>
      <c r="G1470" s="39"/>
      <c r="H1470" s="48">
        <f t="shared" si="96"/>
        <v>5938.58</v>
      </c>
      <c r="I1470" s="43">
        <f t="shared" si="95"/>
        <v>5938.58</v>
      </c>
      <c r="J1470" s="38"/>
      <c r="K1470" s="65"/>
    </row>
    <row r="1471" spans="1:11" ht="24" outlineLevel="1" x14ac:dyDescent="0.2">
      <c r="A1471" s="51" t="s">
        <v>257</v>
      </c>
      <c r="B1471" s="108">
        <v>43070</v>
      </c>
      <c r="C1471" s="107">
        <v>43465</v>
      </c>
      <c r="D1471" s="188">
        <v>10</v>
      </c>
      <c r="E1471" s="124">
        <v>8455.65</v>
      </c>
      <c r="F1471" s="124">
        <v>1600</v>
      </c>
      <c r="G1471" s="39"/>
      <c r="H1471" s="48">
        <f t="shared" si="96"/>
        <v>10055.65</v>
      </c>
      <c r="I1471" s="43">
        <f t="shared" si="95"/>
        <v>10055.65</v>
      </c>
      <c r="J1471" s="38"/>
      <c r="K1471" s="65"/>
    </row>
    <row r="1472" spans="1:11" ht="24" outlineLevel="1" x14ac:dyDescent="0.2">
      <c r="A1472" s="51" t="s">
        <v>923</v>
      </c>
      <c r="B1472" s="108">
        <v>43221</v>
      </c>
      <c r="C1472" s="90">
        <v>43555</v>
      </c>
      <c r="D1472" s="188">
        <v>5</v>
      </c>
      <c r="E1472" s="124">
        <v>4903.9399999999996</v>
      </c>
      <c r="F1472" s="124"/>
      <c r="G1472" s="39"/>
      <c r="H1472" s="48">
        <f t="shared" si="96"/>
        <v>4903.9399999999996</v>
      </c>
      <c r="I1472" s="43">
        <f t="shared" si="95"/>
        <v>4903.9399999999996</v>
      </c>
      <c r="J1472" s="38"/>
      <c r="K1472" s="65"/>
    </row>
    <row r="1473" spans="1:11" ht="24" outlineLevel="1" x14ac:dyDescent="0.2">
      <c r="A1473" s="51" t="s">
        <v>924</v>
      </c>
      <c r="B1473" s="108">
        <v>43191</v>
      </c>
      <c r="C1473" s="107">
        <v>43465</v>
      </c>
      <c r="D1473" s="188">
        <v>5</v>
      </c>
      <c r="E1473" s="124">
        <v>2398.5</v>
      </c>
      <c r="F1473" s="124"/>
      <c r="G1473" s="39"/>
      <c r="H1473" s="48">
        <f t="shared" si="96"/>
        <v>2398.5</v>
      </c>
      <c r="I1473" s="43">
        <f t="shared" si="95"/>
        <v>2398.5</v>
      </c>
      <c r="J1473" s="38"/>
      <c r="K1473" s="65"/>
    </row>
    <row r="1474" spans="1:11" ht="24" outlineLevel="1" x14ac:dyDescent="0.2">
      <c r="A1474" s="51" t="s">
        <v>392</v>
      </c>
      <c r="B1474" s="108">
        <v>43132</v>
      </c>
      <c r="C1474" s="90">
        <v>43496</v>
      </c>
      <c r="D1474" s="188">
        <v>5</v>
      </c>
      <c r="E1474" s="124">
        <v>1929.04</v>
      </c>
      <c r="F1474" s="124"/>
      <c r="G1474" s="39"/>
      <c r="H1474" s="48">
        <f t="shared" si="96"/>
        <v>1929.04</v>
      </c>
      <c r="I1474" s="43">
        <f t="shared" si="95"/>
        <v>1929.04</v>
      </c>
      <c r="J1474" s="38"/>
      <c r="K1474" s="65"/>
    </row>
    <row r="1475" spans="1:11" ht="24" outlineLevel="1" x14ac:dyDescent="0.2">
      <c r="A1475" s="51" t="s">
        <v>1347</v>
      </c>
      <c r="B1475" s="108">
        <v>43344</v>
      </c>
      <c r="C1475" s="107">
        <v>43524</v>
      </c>
      <c r="D1475" s="188">
        <v>5</v>
      </c>
      <c r="E1475" s="124">
        <v>2314.6</v>
      </c>
      <c r="F1475" s="124"/>
      <c r="G1475" s="39"/>
      <c r="H1475" s="48">
        <f t="shared" si="96"/>
        <v>2314.6</v>
      </c>
      <c r="I1475" s="43">
        <f t="shared" si="95"/>
        <v>2314.6</v>
      </c>
      <c r="J1475" s="38"/>
      <c r="K1475" s="65"/>
    </row>
    <row r="1476" spans="1:11" ht="24" outlineLevel="1" x14ac:dyDescent="0.2">
      <c r="A1476" s="51" t="s">
        <v>112</v>
      </c>
      <c r="B1476" s="108">
        <v>42948</v>
      </c>
      <c r="C1476" s="90">
        <v>43616</v>
      </c>
      <c r="D1476" s="188">
        <v>5</v>
      </c>
      <c r="E1476" s="124">
        <v>8299.4599999999991</v>
      </c>
      <c r="F1476" s="124"/>
      <c r="G1476" s="39"/>
      <c r="H1476" s="48">
        <f t="shared" si="96"/>
        <v>8299.4599999999991</v>
      </c>
      <c r="I1476" s="43">
        <f t="shared" si="95"/>
        <v>8299.4599999999991</v>
      </c>
      <c r="J1476" s="38"/>
      <c r="K1476" s="65"/>
    </row>
    <row r="1477" spans="1:11" ht="24" outlineLevel="1" x14ac:dyDescent="0.2">
      <c r="A1477" s="51" t="s">
        <v>925</v>
      </c>
      <c r="B1477" s="108">
        <v>43221</v>
      </c>
      <c r="C1477" s="90">
        <v>43555</v>
      </c>
      <c r="D1477" s="188">
        <v>5</v>
      </c>
      <c r="E1477" s="124">
        <v>6035.26</v>
      </c>
      <c r="F1477" s="124"/>
      <c r="G1477" s="39"/>
      <c r="H1477" s="48">
        <f t="shared" si="96"/>
        <v>6035.26</v>
      </c>
      <c r="I1477" s="43">
        <f t="shared" si="95"/>
        <v>6035.26</v>
      </c>
      <c r="J1477" s="38"/>
      <c r="K1477" s="65"/>
    </row>
    <row r="1478" spans="1:11" ht="24" outlineLevel="1" x14ac:dyDescent="0.2">
      <c r="A1478" s="51" t="s">
        <v>258</v>
      </c>
      <c r="B1478" s="108">
        <v>43070</v>
      </c>
      <c r="C1478" s="107">
        <v>43585</v>
      </c>
      <c r="D1478" s="188">
        <v>5</v>
      </c>
      <c r="E1478" s="124">
        <v>6881.74</v>
      </c>
      <c r="F1478" s="124"/>
      <c r="G1478" s="39"/>
      <c r="H1478" s="48">
        <f t="shared" si="96"/>
        <v>6881.74</v>
      </c>
      <c r="I1478" s="43">
        <f t="shared" si="95"/>
        <v>6881.74</v>
      </c>
      <c r="J1478" s="38"/>
      <c r="K1478" s="65"/>
    </row>
    <row r="1479" spans="1:11" ht="24" outlineLevel="1" x14ac:dyDescent="0.2">
      <c r="A1479" s="51" t="s">
        <v>259</v>
      </c>
      <c r="B1479" s="108">
        <v>43040</v>
      </c>
      <c r="C1479" s="107">
        <v>43524</v>
      </c>
      <c r="D1479" s="188">
        <v>5</v>
      </c>
      <c r="E1479" s="124">
        <v>1361.67</v>
      </c>
      <c r="F1479" s="124"/>
      <c r="G1479" s="39"/>
      <c r="H1479" s="48">
        <f t="shared" si="96"/>
        <v>1361.67</v>
      </c>
      <c r="I1479" s="43">
        <f t="shared" si="95"/>
        <v>1361.67</v>
      </c>
      <c r="J1479" s="38"/>
      <c r="K1479" s="65"/>
    </row>
    <row r="1480" spans="1:11" ht="24" outlineLevel="1" x14ac:dyDescent="0.2">
      <c r="A1480" s="51" t="s">
        <v>1348</v>
      </c>
      <c r="B1480" s="108">
        <v>43313</v>
      </c>
      <c r="C1480" s="107">
        <v>43585</v>
      </c>
      <c r="D1480" s="188">
        <v>5</v>
      </c>
      <c r="E1480" s="124">
        <v>2314.6</v>
      </c>
      <c r="F1480" s="124"/>
      <c r="G1480" s="39"/>
      <c r="H1480" s="48">
        <f t="shared" si="96"/>
        <v>2314.6</v>
      </c>
      <c r="I1480" s="43">
        <f t="shared" si="95"/>
        <v>2314.6</v>
      </c>
      <c r="J1480" s="38"/>
      <c r="K1480" s="65"/>
    </row>
    <row r="1481" spans="1:11" ht="24" outlineLevel="1" x14ac:dyDescent="0.2">
      <c r="A1481" s="51" t="s">
        <v>113</v>
      </c>
      <c r="B1481" s="108">
        <v>42887</v>
      </c>
      <c r="C1481" s="90">
        <v>43616</v>
      </c>
      <c r="D1481" s="188">
        <v>5</v>
      </c>
      <c r="E1481" s="124">
        <v>6710.26</v>
      </c>
      <c r="F1481" s="140"/>
      <c r="G1481" s="39"/>
      <c r="H1481" s="48">
        <f t="shared" si="96"/>
        <v>6710.26</v>
      </c>
      <c r="I1481" s="43">
        <f t="shared" si="95"/>
        <v>6710.26</v>
      </c>
      <c r="J1481" s="38"/>
      <c r="K1481" s="65"/>
    </row>
    <row r="1482" spans="1:11" ht="36" outlineLevel="1" x14ac:dyDescent="0.2">
      <c r="A1482" s="51" t="s">
        <v>260</v>
      </c>
      <c r="B1482" s="108">
        <v>43070</v>
      </c>
      <c r="C1482" s="107">
        <v>43465</v>
      </c>
      <c r="D1482" s="188">
        <v>5</v>
      </c>
      <c r="E1482" s="124">
        <v>3444.72</v>
      </c>
      <c r="F1482" s="124"/>
      <c r="G1482" s="39"/>
      <c r="H1482" s="48">
        <f t="shared" si="96"/>
        <v>3444.72</v>
      </c>
      <c r="I1482" s="43">
        <f t="shared" si="95"/>
        <v>3444.72</v>
      </c>
      <c r="J1482" s="38"/>
      <c r="K1482" s="65"/>
    </row>
    <row r="1483" spans="1:11" ht="36" outlineLevel="1" x14ac:dyDescent="0.2">
      <c r="A1483" s="51" t="s">
        <v>114</v>
      </c>
      <c r="B1483" s="108">
        <v>42675</v>
      </c>
      <c r="C1483" s="90">
        <v>43616</v>
      </c>
      <c r="D1483" s="188">
        <v>5</v>
      </c>
      <c r="E1483" s="124">
        <v>1962.52</v>
      </c>
      <c r="F1483" s="140"/>
      <c r="G1483" s="39"/>
      <c r="H1483" s="48">
        <f t="shared" si="96"/>
        <v>1962.52</v>
      </c>
      <c r="I1483" s="43">
        <f t="shared" si="95"/>
        <v>1962.52</v>
      </c>
      <c r="J1483" s="38"/>
      <c r="K1483" s="65"/>
    </row>
    <row r="1484" spans="1:11" ht="24" outlineLevel="1" x14ac:dyDescent="0.2">
      <c r="A1484" s="51" t="s">
        <v>115</v>
      </c>
      <c r="B1484" s="108">
        <v>42948</v>
      </c>
      <c r="C1484" s="107">
        <v>43585</v>
      </c>
      <c r="D1484" s="188">
        <v>15</v>
      </c>
      <c r="E1484" s="124">
        <v>9025.4599999999991</v>
      </c>
      <c r="F1484" s="137">
        <v>45000</v>
      </c>
      <c r="G1484" s="39"/>
      <c r="H1484" s="48">
        <f t="shared" si="96"/>
        <v>54025.46</v>
      </c>
      <c r="I1484" s="43">
        <f t="shared" si="95"/>
        <v>54025.46</v>
      </c>
      <c r="J1484" s="38"/>
      <c r="K1484" s="65"/>
    </row>
    <row r="1485" spans="1:11" ht="24" outlineLevel="1" x14ac:dyDescent="0.2">
      <c r="A1485" s="51" t="s">
        <v>1349</v>
      </c>
      <c r="B1485" s="108">
        <v>43282</v>
      </c>
      <c r="C1485" s="90">
        <v>43616</v>
      </c>
      <c r="D1485" s="188">
        <v>5</v>
      </c>
      <c r="E1485" s="124">
        <v>3923.65</v>
      </c>
      <c r="F1485" s="124"/>
      <c r="G1485" s="39"/>
      <c r="H1485" s="48">
        <f t="shared" si="96"/>
        <v>3923.65</v>
      </c>
      <c r="I1485" s="43">
        <f t="shared" si="95"/>
        <v>3923.65</v>
      </c>
      <c r="J1485" s="38"/>
      <c r="K1485" s="65"/>
    </row>
    <row r="1486" spans="1:11" ht="24" outlineLevel="1" x14ac:dyDescent="0.2">
      <c r="A1486" s="51" t="s">
        <v>116</v>
      </c>
      <c r="B1486" s="108">
        <v>42887</v>
      </c>
      <c r="C1486" s="107">
        <v>43434</v>
      </c>
      <c r="D1486" s="188">
        <v>10</v>
      </c>
      <c r="E1486" s="124">
        <v>4471.3900000000003</v>
      </c>
      <c r="F1486" s="137">
        <v>15000</v>
      </c>
      <c r="G1486" s="39"/>
      <c r="H1486" s="48">
        <f t="shared" si="96"/>
        <v>19471.39</v>
      </c>
      <c r="I1486" s="43">
        <f t="shared" si="95"/>
        <v>19471.39</v>
      </c>
      <c r="J1486" s="38"/>
      <c r="K1486" s="65"/>
    </row>
    <row r="1487" spans="1:11" ht="24" outlineLevel="1" x14ac:dyDescent="0.2">
      <c r="A1487" s="51" t="s">
        <v>1350</v>
      </c>
      <c r="B1487" s="108">
        <v>43344</v>
      </c>
      <c r="C1487" s="107">
        <v>43585</v>
      </c>
      <c r="D1487" s="188">
        <v>5</v>
      </c>
      <c r="E1487" s="124">
        <v>1851.67</v>
      </c>
      <c r="F1487" s="124"/>
      <c r="G1487" s="39"/>
      <c r="H1487" s="48">
        <f t="shared" si="96"/>
        <v>1851.67</v>
      </c>
      <c r="I1487" s="43">
        <f t="shared" si="95"/>
        <v>1851.67</v>
      </c>
      <c r="J1487" s="38"/>
      <c r="K1487" s="65"/>
    </row>
    <row r="1488" spans="1:11" ht="24" outlineLevel="1" x14ac:dyDescent="0.2">
      <c r="A1488" s="51" t="s">
        <v>1351</v>
      </c>
      <c r="B1488" s="108">
        <v>43344</v>
      </c>
      <c r="C1488" s="107">
        <v>43585</v>
      </c>
      <c r="D1488" s="188">
        <v>5</v>
      </c>
      <c r="E1488" s="124">
        <v>3824.68</v>
      </c>
      <c r="F1488" s="124"/>
      <c r="G1488" s="39"/>
      <c r="H1488" s="48">
        <f t="shared" si="96"/>
        <v>3824.68</v>
      </c>
      <c r="I1488" s="43">
        <f t="shared" si="95"/>
        <v>3824.68</v>
      </c>
      <c r="J1488" s="38"/>
      <c r="K1488" s="65"/>
    </row>
    <row r="1489" spans="1:11" ht="24" outlineLevel="1" x14ac:dyDescent="0.2">
      <c r="A1489" s="51" t="s">
        <v>1352</v>
      </c>
      <c r="B1489" s="108">
        <v>43313</v>
      </c>
      <c r="C1489" s="107">
        <v>43585</v>
      </c>
      <c r="D1489" s="188">
        <v>5</v>
      </c>
      <c r="E1489" s="124">
        <v>6668.51</v>
      </c>
      <c r="F1489" s="124"/>
      <c r="G1489" s="39"/>
      <c r="H1489" s="48">
        <f t="shared" si="96"/>
        <v>6668.51</v>
      </c>
      <c r="I1489" s="43">
        <f t="shared" si="95"/>
        <v>6668.51</v>
      </c>
      <c r="J1489" s="38"/>
      <c r="K1489" s="65"/>
    </row>
    <row r="1490" spans="1:11" ht="24" outlineLevel="1" x14ac:dyDescent="0.2">
      <c r="A1490" s="51" t="s">
        <v>1353</v>
      </c>
      <c r="B1490" s="108">
        <v>43282</v>
      </c>
      <c r="C1490" s="107">
        <v>43646</v>
      </c>
      <c r="D1490" s="188">
        <v>5</v>
      </c>
      <c r="E1490" s="124">
        <v>3923.65</v>
      </c>
      <c r="F1490" s="124"/>
      <c r="G1490" s="39"/>
      <c r="H1490" s="48">
        <f t="shared" si="96"/>
        <v>3923.65</v>
      </c>
      <c r="I1490" s="43">
        <f t="shared" si="95"/>
        <v>3923.65</v>
      </c>
      <c r="J1490" s="38"/>
      <c r="K1490" s="65"/>
    </row>
    <row r="1491" spans="1:11" ht="12.75" outlineLevel="1" x14ac:dyDescent="0.2">
      <c r="A1491" s="51" t="s">
        <v>1354</v>
      </c>
      <c r="B1491" s="108">
        <v>43344</v>
      </c>
      <c r="C1491" s="90">
        <v>43465</v>
      </c>
      <c r="D1491" s="188">
        <v>5</v>
      </c>
      <c r="E1491" s="124">
        <v>2314.6</v>
      </c>
      <c r="F1491" s="124"/>
      <c r="G1491" s="39"/>
      <c r="H1491" s="48">
        <f t="shared" si="96"/>
        <v>2314.6</v>
      </c>
      <c r="I1491" s="43">
        <f t="shared" si="95"/>
        <v>2314.6</v>
      </c>
      <c r="J1491" s="38"/>
      <c r="K1491" s="65"/>
    </row>
    <row r="1492" spans="1:11" ht="24" outlineLevel="1" x14ac:dyDescent="0.2">
      <c r="A1492" s="51" t="s">
        <v>1355</v>
      </c>
      <c r="B1492" s="108">
        <v>43344</v>
      </c>
      <c r="C1492" s="90">
        <v>43616</v>
      </c>
      <c r="D1492" s="188">
        <v>5</v>
      </c>
      <c r="E1492" s="124">
        <v>1633.83</v>
      </c>
      <c r="F1492" s="124"/>
      <c r="G1492" s="39"/>
      <c r="H1492" s="48">
        <f t="shared" si="96"/>
        <v>1633.83</v>
      </c>
      <c r="I1492" s="43">
        <f t="shared" si="95"/>
        <v>1633.83</v>
      </c>
      <c r="J1492" s="38"/>
      <c r="K1492" s="65"/>
    </row>
    <row r="1493" spans="1:11" ht="24" outlineLevel="1" x14ac:dyDescent="0.2">
      <c r="A1493" s="51" t="s">
        <v>1356</v>
      </c>
      <c r="B1493" s="108">
        <v>43344</v>
      </c>
      <c r="C1493" s="90">
        <v>43616</v>
      </c>
      <c r="D1493" s="188">
        <v>5</v>
      </c>
      <c r="E1493" s="124">
        <v>1633.83</v>
      </c>
      <c r="F1493" s="124"/>
      <c r="G1493" s="39"/>
      <c r="H1493" s="48">
        <f t="shared" si="96"/>
        <v>1633.83</v>
      </c>
      <c r="I1493" s="43">
        <f t="shared" si="95"/>
        <v>1633.83</v>
      </c>
      <c r="J1493" s="38"/>
      <c r="K1493" s="65"/>
    </row>
    <row r="1494" spans="1:11" ht="24" outlineLevel="1" x14ac:dyDescent="0.2">
      <c r="A1494" s="51" t="s">
        <v>1357</v>
      </c>
      <c r="B1494" s="108">
        <v>43344</v>
      </c>
      <c r="C1494" s="90">
        <v>43616</v>
      </c>
      <c r="D1494" s="188">
        <v>5</v>
      </c>
      <c r="E1494" s="124">
        <v>1851.67</v>
      </c>
      <c r="F1494" s="124"/>
      <c r="G1494" s="39"/>
      <c r="H1494" s="48">
        <f t="shared" si="96"/>
        <v>1851.67</v>
      </c>
      <c r="I1494" s="43">
        <f t="shared" si="95"/>
        <v>1851.67</v>
      </c>
      <c r="J1494" s="38"/>
      <c r="K1494" s="65"/>
    </row>
    <row r="1495" spans="1:11" ht="24" outlineLevel="1" x14ac:dyDescent="0.2">
      <c r="A1495" s="51" t="s">
        <v>261</v>
      </c>
      <c r="B1495" s="108">
        <v>43070</v>
      </c>
      <c r="C1495" s="107">
        <v>43646</v>
      </c>
      <c r="D1495" s="188">
        <v>5</v>
      </c>
      <c r="E1495" s="124">
        <v>6881.45</v>
      </c>
      <c r="F1495" s="124"/>
      <c r="G1495" s="39"/>
      <c r="H1495" s="48">
        <f t="shared" si="96"/>
        <v>6881.45</v>
      </c>
      <c r="I1495" s="43">
        <f t="shared" si="95"/>
        <v>6881.45</v>
      </c>
      <c r="J1495" s="38"/>
      <c r="K1495" s="65"/>
    </row>
    <row r="1496" spans="1:11" ht="12.75" outlineLevel="1" x14ac:dyDescent="0.2">
      <c r="A1496" s="51" t="s">
        <v>926</v>
      </c>
      <c r="B1496" s="108">
        <v>43191</v>
      </c>
      <c r="C1496" s="90">
        <v>43646</v>
      </c>
      <c r="D1496" s="188">
        <v>10</v>
      </c>
      <c r="E1496" s="124">
        <v>980.29</v>
      </c>
      <c r="F1496" s="124">
        <v>1600</v>
      </c>
      <c r="G1496" s="39"/>
      <c r="H1496" s="48">
        <f t="shared" si="96"/>
        <v>2580.29</v>
      </c>
      <c r="I1496" s="43">
        <f t="shared" si="95"/>
        <v>2580.29</v>
      </c>
      <c r="J1496" s="38"/>
      <c r="K1496" s="65"/>
    </row>
    <row r="1497" spans="1:11" ht="24" outlineLevel="1" x14ac:dyDescent="0.2">
      <c r="A1497" s="51" t="s">
        <v>117</v>
      </c>
      <c r="B1497" s="108">
        <v>42948</v>
      </c>
      <c r="C1497" s="107">
        <v>43434</v>
      </c>
      <c r="D1497" s="188">
        <v>60</v>
      </c>
      <c r="E1497" s="124">
        <v>8910.6299999999992</v>
      </c>
      <c r="F1497" s="140">
        <v>210200</v>
      </c>
      <c r="G1497" s="39"/>
      <c r="H1497" s="48">
        <f t="shared" si="96"/>
        <v>219110.63</v>
      </c>
      <c r="I1497" s="43">
        <f t="shared" si="95"/>
        <v>219110.63</v>
      </c>
      <c r="J1497" s="38"/>
      <c r="K1497" s="65"/>
    </row>
    <row r="1498" spans="1:11" ht="24" outlineLevel="1" x14ac:dyDescent="0.2">
      <c r="A1498" s="51" t="s">
        <v>118</v>
      </c>
      <c r="B1498" s="108">
        <v>42826</v>
      </c>
      <c r="C1498" s="107">
        <v>43465</v>
      </c>
      <c r="D1498" s="188">
        <v>10</v>
      </c>
      <c r="E1498" s="124">
        <v>8316.27</v>
      </c>
      <c r="F1498" s="140">
        <v>1600</v>
      </c>
      <c r="G1498" s="39"/>
      <c r="H1498" s="48">
        <f t="shared" si="96"/>
        <v>9916.27</v>
      </c>
      <c r="I1498" s="43">
        <f t="shared" si="95"/>
        <v>9916.27</v>
      </c>
      <c r="J1498" s="38"/>
      <c r="K1498" s="65"/>
    </row>
    <row r="1499" spans="1:11" ht="24" outlineLevel="1" x14ac:dyDescent="0.2">
      <c r="A1499" s="51" t="s">
        <v>1358</v>
      </c>
      <c r="B1499" s="108">
        <v>43313</v>
      </c>
      <c r="C1499" s="107">
        <v>43465</v>
      </c>
      <c r="D1499" s="188">
        <v>5</v>
      </c>
      <c r="E1499" s="124">
        <v>6238.25</v>
      </c>
      <c r="F1499" s="124"/>
      <c r="G1499" s="39"/>
      <c r="H1499" s="48">
        <f t="shared" si="96"/>
        <v>6238.25</v>
      </c>
      <c r="I1499" s="43">
        <f t="shared" si="95"/>
        <v>6238.25</v>
      </c>
      <c r="J1499" s="38"/>
      <c r="K1499" s="65"/>
    </row>
    <row r="1500" spans="1:11" ht="24" outlineLevel="1" x14ac:dyDescent="0.2">
      <c r="A1500" s="51" t="s">
        <v>927</v>
      </c>
      <c r="B1500" s="108">
        <v>43221</v>
      </c>
      <c r="C1500" s="90">
        <v>43555</v>
      </c>
      <c r="D1500" s="188">
        <v>5</v>
      </c>
      <c r="E1500" s="124">
        <v>2645.26</v>
      </c>
      <c r="F1500" s="124"/>
      <c r="G1500" s="39"/>
      <c r="H1500" s="48">
        <f t="shared" si="96"/>
        <v>2645.26</v>
      </c>
      <c r="I1500" s="43">
        <f t="shared" si="95"/>
        <v>2645.26</v>
      </c>
      <c r="J1500" s="38"/>
      <c r="K1500" s="65"/>
    </row>
    <row r="1501" spans="1:11" ht="24" outlineLevel="1" x14ac:dyDescent="0.2">
      <c r="A1501" s="51" t="s">
        <v>119</v>
      </c>
      <c r="B1501" s="108">
        <v>42948</v>
      </c>
      <c r="C1501" s="90">
        <v>43555</v>
      </c>
      <c r="D1501" s="188">
        <v>15</v>
      </c>
      <c r="E1501" s="124">
        <v>9025.4699999999993</v>
      </c>
      <c r="F1501" s="137">
        <v>45000</v>
      </c>
      <c r="G1501" s="39"/>
      <c r="H1501" s="48">
        <f t="shared" si="96"/>
        <v>54025.47</v>
      </c>
      <c r="I1501" s="43">
        <f t="shared" si="95"/>
        <v>54025.47</v>
      </c>
      <c r="J1501" s="38"/>
      <c r="K1501" s="65"/>
    </row>
    <row r="1502" spans="1:11" ht="24" outlineLevel="1" x14ac:dyDescent="0.2">
      <c r="A1502" s="51" t="s">
        <v>393</v>
      </c>
      <c r="B1502" s="108">
        <v>43101</v>
      </c>
      <c r="C1502" s="90">
        <v>43496</v>
      </c>
      <c r="D1502" s="188">
        <v>15</v>
      </c>
      <c r="E1502" s="124">
        <v>4265.47</v>
      </c>
      <c r="F1502" s="124">
        <v>14500</v>
      </c>
      <c r="G1502" s="39"/>
      <c r="H1502" s="48">
        <f t="shared" si="96"/>
        <v>18765.47</v>
      </c>
      <c r="I1502" s="43">
        <f t="shared" si="95"/>
        <v>18765.47</v>
      </c>
      <c r="J1502" s="38"/>
      <c r="K1502" s="65"/>
    </row>
    <row r="1503" spans="1:11" ht="24" outlineLevel="1" x14ac:dyDescent="0.2">
      <c r="A1503" s="51" t="s">
        <v>120</v>
      </c>
      <c r="B1503" s="108">
        <v>42705</v>
      </c>
      <c r="C1503" s="107">
        <v>43646</v>
      </c>
      <c r="D1503" s="188">
        <v>15</v>
      </c>
      <c r="E1503" s="124">
        <v>9401.24</v>
      </c>
      <c r="F1503" s="137">
        <v>22400</v>
      </c>
      <c r="G1503" s="39"/>
      <c r="H1503" s="48">
        <f t="shared" si="96"/>
        <v>31801.239999999998</v>
      </c>
      <c r="I1503" s="43">
        <f t="shared" si="95"/>
        <v>31801.239999999998</v>
      </c>
      <c r="J1503" s="38"/>
      <c r="K1503" s="65"/>
    </row>
    <row r="1504" spans="1:11" ht="36" outlineLevel="1" x14ac:dyDescent="0.2">
      <c r="A1504" s="51" t="s">
        <v>121</v>
      </c>
      <c r="B1504" s="108">
        <v>42979</v>
      </c>
      <c r="C1504" s="90">
        <v>43496</v>
      </c>
      <c r="D1504" s="188">
        <v>5</v>
      </c>
      <c r="E1504" s="124">
        <v>2107.34</v>
      </c>
      <c r="F1504" s="140"/>
      <c r="G1504" s="39"/>
      <c r="H1504" s="48">
        <f t="shared" si="96"/>
        <v>2107.34</v>
      </c>
      <c r="I1504" s="43">
        <f t="shared" si="95"/>
        <v>2107.34</v>
      </c>
      <c r="J1504" s="38"/>
      <c r="K1504" s="65"/>
    </row>
    <row r="1505" spans="1:11" ht="24" outlineLevel="1" x14ac:dyDescent="0.2">
      <c r="A1505" s="51" t="s">
        <v>262</v>
      </c>
      <c r="B1505" s="108">
        <v>43009</v>
      </c>
      <c r="C1505" s="107">
        <v>43465</v>
      </c>
      <c r="D1505" s="188">
        <v>15</v>
      </c>
      <c r="E1505" s="124">
        <v>5017.8500000000004</v>
      </c>
      <c r="F1505" s="124">
        <v>15000</v>
      </c>
      <c r="G1505" s="39"/>
      <c r="H1505" s="48">
        <f t="shared" si="96"/>
        <v>20017.849999999999</v>
      </c>
      <c r="I1505" s="43">
        <f t="shared" si="95"/>
        <v>20017.849999999999</v>
      </c>
      <c r="J1505" s="38"/>
      <c r="K1505" s="65"/>
    </row>
    <row r="1506" spans="1:11" ht="24" outlineLevel="1" x14ac:dyDescent="0.2">
      <c r="A1506" s="51" t="s">
        <v>122</v>
      </c>
      <c r="B1506" s="108">
        <v>42795</v>
      </c>
      <c r="C1506" s="90">
        <v>43555</v>
      </c>
      <c r="D1506" s="188">
        <v>50</v>
      </c>
      <c r="E1506" s="124">
        <v>8265.42</v>
      </c>
      <c r="F1506" s="137">
        <v>85799.99</v>
      </c>
      <c r="G1506" s="39"/>
      <c r="H1506" s="48">
        <f t="shared" si="96"/>
        <v>94065.41</v>
      </c>
      <c r="I1506" s="43">
        <f t="shared" si="95"/>
        <v>94065.41</v>
      </c>
      <c r="J1506" s="38"/>
      <c r="K1506" s="65"/>
    </row>
    <row r="1507" spans="1:11" ht="24" outlineLevel="1" x14ac:dyDescent="0.2">
      <c r="A1507" s="51" t="s">
        <v>263</v>
      </c>
      <c r="B1507" s="108">
        <v>43040</v>
      </c>
      <c r="C1507" s="107">
        <v>43646</v>
      </c>
      <c r="D1507" s="188">
        <v>5</v>
      </c>
      <c r="E1507" s="124">
        <v>5413.64</v>
      </c>
      <c r="F1507" s="124"/>
      <c r="G1507" s="39"/>
      <c r="H1507" s="48">
        <f t="shared" si="96"/>
        <v>5413.64</v>
      </c>
      <c r="I1507" s="43">
        <f t="shared" si="95"/>
        <v>5413.64</v>
      </c>
      <c r="J1507" s="38"/>
      <c r="K1507" s="65"/>
    </row>
    <row r="1508" spans="1:11" ht="24" outlineLevel="1" x14ac:dyDescent="0.2">
      <c r="A1508" s="51" t="s">
        <v>394</v>
      </c>
      <c r="B1508" s="108">
        <v>43160</v>
      </c>
      <c r="C1508" s="107">
        <v>43465</v>
      </c>
      <c r="D1508" s="188">
        <v>5</v>
      </c>
      <c r="E1508" s="124">
        <v>2411.27</v>
      </c>
      <c r="F1508" s="124"/>
      <c r="G1508" s="39"/>
      <c r="H1508" s="48">
        <f t="shared" si="96"/>
        <v>2411.27</v>
      </c>
      <c r="I1508" s="43">
        <f t="shared" si="95"/>
        <v>2411.27</v>
      </c>
      <c r="J1508" s="38"/>
      <c r="K1508" s="65"/>
    </row>
    <row r="1509" spans="1:11" ht="24" outlineLevel="1" x14ac:dyDescent="0.2">
      <c r="A1509" s="51" t="s">
        <v>928</v>
      </c>
      <c r="B1509" s="108">
        <v>43252</v>
      </c>
      <c r="C1509" s="107">
        <v>43404</v>
      </c>
      <c r="D1509" s="188">
        <v>5</v>
      </c>
      <c r="E1509" s="124">
        <v>2314.6</v>
      </c>
      <c r="F1509" s="124"/>
      <c r="G1509" s="39"/>
      <c r="H1509" s="48">
        <f t="shared" si="96"/>
        <v>2314.6</v>
      </c>
      <c r="I1509" s="43">
        <f t="shared" si="95"/>
        <v>2314.6</v>
      </c>
      <c r="J1509" s="38"/>
      <c r="K1509" s="65"/>
    </row>
    <row r="1510" spans="1:11" ht="12.75" outlineLevel="1" x14ac:dyDescent="0.2">
      <c r="A1510" s="51" t="s">
        <v>929</v>
      </c>
      <c r="B1510" s="108">
        <v>43191</v>
      </c>
      <c r="C1510" s="107">
        <v>43555</v>
      </c>
      <c r="D1510" s="188">
        <v>5</v>
      </c>
      <c r="E1510" s="124">
        <v>1361.67</v>
      </c>
      <c r="F1510" s="124"/>
      <c r="G1510" s="39"/>
      <c r="H1510" s="48">
        <f t="shared" si="96"/>
        <v>1361.67</v>
      </c>
      <c r="I1510" s="43">
        <f t="shared" si="95"/>
        <v>1361.67</v>
      </c>
      <c r="J1510" s="38"/>
      <c r="K1510" s="65"/>
    </row>
    <row r="1511" spans="1:11" ht="12.75" outlineLevel="1" x14ac:dyDescent="0.2">
      <c r="A1511" s="51" t="s">
        <v>1359</v>
      </c>
      <c r="B1511" s="108">
        <v>43313</v>
      </c>
      <c r="C1511" s="107">
        <v>43555</v>
      </c>
      <c r="D1511" s="188">
        <v>5</v>
      </c>
      <c r="E1511" s="124">
        <v>5557.49</v>
      </c>
      <c r="F1511" s="124"/>
      <c r="G1511" s="39"/>
      <c r="H1511" s="48">
        <f t="shared" si="96"/>
        <v>5557.49</v>
      </c>
      <c r="I1511" s="43">
        <f t="shared" si="95"/>
        <v>5557.49</v>
      </c>
      <c r="J1511" s="38"/>
      <c r="K1511" s="65"/>
    </row>
    <row r="1512" spans="1:11" ht="24" outlineLevel="1" x14ac:dyDescent="0.2">
      <c r="A1512" s="51" t="s">
        <v>1360</v>
      </c>
      <c r="B1512" s="108">
        <v>43344</v>
      </c>
      <c r="C1512" s="90">
        <v>43555</v>
      </c>
      <c r="D1512" s="188">
        <v>5</v>
      </c>
      <c r="E1512" s="124">
        <v>1851.67</v>
      </c>
      <c r="F1512" s="124"/>
      <c r="G1512" s="39"/>
      <c r="H1512" s="48">
        <f t="shared" si="96"/>
        <v>1851.67</v>
      </c>
      <c r="I1512" s="43">
        <f t="shared" si="95"/>
        <v>1851.67</v>
      </c>
      <c r="J1512" s="38"/>
      <c r="K1512" s="65"/>
    </row>
    <row r="1513" spans="1:11" ht="24" outlineLevel="1" x14ac:dyDescent="0.2">
      <c r="A1513" s="51" t="s">
        <v>930</v>
      </c>
      <c r="B1513" s="108">
        <v>43191</v>
      </c>
      <c r="C1513" s="107">
        <v>43555</v>
      </c>
      <c r="D1513" s="188">
        <v>5</v>
      </c>
      <c r="E1513" s="124">
        <v>2730.29</v>
      </c>
      <c r="F1513" s="124"/>
      <c r="G1513" s="39"/>
      <c r="H1513" s="48">
        <f t="shared" si="96"/>
        <v>2730.29</v>
      </c>
      <c r="I1513" s="43">
        <f t="shared" ref="I1513:I1549" si="97">H1513</f>
        <v>2730.29</v>
      </c>
      <c r="J1513" s="38"/>
      <c r="K1513" s="65"/>
    </row>
    <row r="1514" spans="1:11" ht="24" outlineLevel="1" x14ac:dyDescent="0.2">
      <c r="A1514" s="51" t="s">
        <v>1361</v>
      </c>
      <c r="B1514" s="108">
        <v>43344</v>
      </c>
      <c r="C1514" s="90">
        <v>43616</v>
      </c>
      <c r="D1514" s="188">
        <v>5</v>
      </c>
      <c r="E1514" s="124">
        <v>2314.6</v>
      </c>
      <c r="F1514" s="124"/>
      <c r="G1514" s="39"/>
      <c r="H1514" s="48">
        <f t="shared" ref="H1514:H1549" si="98">E1514+F1514</f>
        <v>2314.6</v>
      </c>
      <c r="I1514" s="43">
        <f t="shared" si="97"/>
        <v>2314.6</v>
      </c>
      <c r="J1514" s="38"/>
      <c r="K1514" s="65"/>
    </row>
    <row r="1515" spans="1:11" ht="12.75" outlineLevel="1" x14ac:dyDescent="0.2">
      <c r="A1515" s="51" t="s">
        <v>931</v>
      </c>
      <c r="B1515" s="108">
        <v>43221</v>
      </c>
      <c r="C1515" s="90">
        <v>43677</v>
      </c>
      <c r="D1515" s="188">
        <v>15</v>
      </c>
      <c r="E1515" s="124">
        <v>6238.25</v>
      </c>
      <c r="F1515" s="124">
        <v>14447</v>
      </c>
      <c r="G1515" s="39"/>
      <c r="H1515" s="48">
        <f t="shared" si="98"/>
        <v>20685.25</v>
      </c>
      <c r="I1515" s="43">
        <f t="shared" si="97"/>
        <v>20685.25</v>
      </c>
      <c r="J1515" s="38"/>
      <c r="K1515" s="65"/>
    </row>
    <row r="1516" spans="1:11" ht="24" outlineLevel="1" x14ac:dyDescent="0.2">
      <c r="A1516" s="51" t="s">
        <v>264</v>
      </c>
      <c r="B1516" s="108">
        <v>43009</v>
      </c>
      <c r="C1516" s="107">
        <v>43496</v>
      </c>
      <c r="D1516" s="188">
        <v>15</v>
      </c>
      <c r="E1516" s="124">
        <v>6130</v>
      </c>
      <c r="F1516" s="124">
        <v>12500</v>
      </c>
      <c r="G1516" s="39"/>
      <c r="H1516" s="48">
        <f t="shared" si="98"/>
        <v>18630</v>
      </c>
      <c r="I1516" s="43">
        <f t="shared" si="97"/>
        <v>18630</v>
      </c>
      <c r="J1516" s="38"/>
      <c r="K1516" s="65"/>
    </row>
    <row r="1517" spans="1:11" ht="12.75" outlineLevel="1" x14ac:dyDescent="0.2">
      <c r="A1517" s="51" t="s">
        <v>1362</v>
      </c>
      <c r="B1517" s="108">
        <v>43313</v>
      </c>
      <c r="C1517" s="90">
        <v>43677</v>
      </c>
      <c r="D1517" s="188">
        <v>5</v>
      </c>
      <c r="E1517" s="124">
        <v>3923.65</v>
      </c>
      <c r="F1517" s="124"/>
      <c r="G1517" s="39"/>
      <c r="H1517" s="48">
        <f t="shared" si="98"/>
        <v>3923.65</v>
      </c>
      <c r="I1517" s="43">
        <f t="shared" si="97"/>
        <v>3923.65</v>
      </c>
      <c r="J1517" s="38"/>
      <c r="K1517" s="65"/>
    </row>
    <row r="1518" spans="1:11" ht="24" outlineLevel="1" x14ac:dyDescent="0.2">
      <c r="A1518" s="51" t="s">
        <v>932</v>
      </c>
      <c r="B1518" s="108">
        <v>43221</v>
      </c>
      <c r="C1518" s="107">
        <v>43524</v>
      </c>
      <c r="D1518" s="188">
        <v>5</v>
      </c>
      <c r="E1518" s="124">
        <v>2066.44</v>
      </c>
      <c r="F1518" s="124"/>
      <c r="G1518" s="39"/>
      <c r="H1518" s="48">
        <f t="shared" si="98"/>
        <v>2066.44</v>
      </c>
      <c r="I1518" s="43">
        <f t="shared" si="97"/>
        <v>2066.44</v>
      </c>
      <c r="J1518" s="38"/>
      <c r="K1518" s="65"/>
    </row>
    <row r="1519" spans="1:11" ht="24" outlineLevel="1" x14ac:dyDescent="0.2">
      <c r="A1519" s="51" t="s">
        <v>933</v>
      </c>
      <c r="B1519" s="108">
        <v>43252</v>
      </c>
      <c r="C1519" s="107">
        <v>43524</v>
      </c>
      <c r="D1519" s="188">
        <v>5</v>
      </c>
      <c r="E1519" s="124">
        <v>1633.83</v>
      </c>
      <c r="F1519" s="124"/>
      <c r="G1519" s="39"/>
      <c r="H1519" s="48">
        <f t="shared" si="98"/>
        <v>1633.83</v>
      </c>
      <c r="I1519" s="43">
        <f t="shared" si="97"/>
        <v>1633.83</v>
      </c>
      <c r="J1519" s="38"/>
      <c r="K1519" s="65"/>
    </row>
    <row r="1520" spans="1:11" ht="24" outlineLevel="1" x14ac:dyDescent="0.2">
      <c r="A1520" s="51" t="s">
        <v>1363</v>
      </c>
      <c r="B1520" s="108">
        <v>43313</v>
      </c>
      <c r="C1520" s="107">
        <v>43524</v>
      </c>
      <c r="D1520" s="188">
        <v>5</v>
      </c>
      <c r="E1520" s="124">
        <v>3923.65</v>
      </c>
      <c r="F1520" s="124"/>
      <c r="G1520" s="39"/>
      <c r="H1520" s="48">
        <f t="shared" si="98"/>
        <v>3923.65</v>
      </c>
      <c r="I1520" s="43">
        <f t="shared" si="97"/>
        <v>3923.65</v>
      </c>
      <c r="J1520" s="38"/>
      <c r="K1520" s="65"/>
    </row>
    <row r="1521" spans="1:11" ht="24" outlineLevel="1" x14ac:dyDescent="0.2">
      <c r="A1521" s="51" t="s">
        <v>934</v>
      </c>
      <c r="B1521" s="108">
        <v>43221</v>
      </c>
      <c r="C1521" s="107">
        <v>43524</v>
      </c>
      <c r="D1521" s="188">
        <v>15</v>
      </c>
      <c r="E1521" s="124">
        <v>3462.38</v>
      </c>
      <c r="F1521" s="124">
        <v>12126</v>
      </c>
      <c r="G1521" s="39"/>
      <c r="H1521" s="48">
        <f t="shared" si="98"/>
        <v>15588.380000000001</v>
      </c>
      <c r="I1521" s="43">
        <f t="shared" si="97"/>
        <v>15588.380000000001</v>
      </c>
      <c r="J1521" s="38"/>
      <c r="K1521" s="65"/>
    </row>
    <row r="1522" spans="1:11" ht="24" outlineLevel="1" x14ac:dyDescent="0.2">
      <c r="A1522" s="51" t="s">
        <v>1364</v>
      </c>
      <c r="B1522" s="108">
        <v>43344</v>
      </c>
      <c r="C1522" s="107">
        <v>43465</v>
      </c>
      <c r="D1522" s="188">
        <v>5</v>
      </c>
      <c r="E1522" s="124">
        <v>1633.83</v>
      </c>
      <c r="F1522" s="124"/>
      <c r="G1522" s="39"/>
      <c r="H1522" s="48">
        <f t="shared" si="98"/>
        <v>1633.83</v>
      </c>
      <c r="I1522" s="43">
        <f t="shared" si="97"/>
        <v>1633.83</v>
      </c>
      <c r="J1522" s="38"/>
      <c r="K1522" s="65"/>
    </row>
    <row r="1523" spans="1:11" ht="24" outlineLevel="1" x14ac:dyDescent="0.2">
      <c r="A1523" s="51" t="s">
        <v>1365</v>
      </c>
      <c r="B1523" s="108">
        <v>43344</v>
      </c>
      <c r="C1523" s="107">
        <v>43465</v>
      </c>
      <c r="D1523" s="188">
        <v>5</v>
      </c>
      <c r="E1523" s="124">
        <v>1633.83</v>
      </c>
      <c r="F1523" s="124"/>
      <c r="G1523" s="39"/>
      <c r="H1523" s="48">
        <f t="shared" si="98"/>
        <v>1633.83</v>
      </c>
      <c r="I1523" s="43">
        <f t="shared" si="97"/>
        <v>1633.83</v>
      </c>
      <c r="J1523" s="38"/>
      <c r="K1523" s="65"/>
    </row>
    <row r="1524" spans="1:11" ht="24" outlineLevel="1" x14ac:dyDescent="0.2">
      <c r="A1524" s="51" t="s">
        <v>1366</v>
      </c>
      <c r="B1524" s="108">
        <v>43344</v>
      </c>
      <c r="C1524" s="107">
        <v>43465</v>
      </c>
      <c r="D1524" s="188">
        <v>5</v>
      </c>
      <c r="E1524" s="124">
        <v>1633.83</v>
      </c>
      <c r="F1524" s="124"/>
      <c r="G1524" s="39"/>
      <c r="H1524" s="48">
        <f t="shared" si="98"/>
        <v>1633.83</v>
      </c>
      <c r="I1524" s="43">
        <f t="shared" si="97"/>
        <v>1633.83</v>
      </c>
      <c r="J1524" s="38"/>
      <c r="K1524" s="65"/>
    </row>
    <row r="1525" spans="1:11" ht="24" outlineLevel="1" x14ac:dyDescent="0.2">
      <c r="A1525" s="51" t="s">
        <v>1367</v>
      </c>
      <c r="B1525" s="108">
        <v>43282</v>
      </c>
      <c r="C1525" s="90">
        <v>43555</v>
      </c>
      <c r="D1525" s="188">
        <v>5</v>
      </c>
      <c r="E1525" s="124">
        <v>2314.86</v>
      </c>
      <c r="F1525" s="124"/>
      <c r="G1525" s="39"/>
      <c r="H1525" s="48">
        <f t="shared" si="98"/>
        <v>2314.86</v>
      </c>
      <c r="I1525" s="43">
        <f t="shared" si="97"/>
        <v>2314.86</v>
      </c>
      <c r="J1525" s="38"/>
      <c r="K1525" s="65"/>
    </row>
    <row r="1526" spans="1:11" ht="24" outlineLevel="1" x14ac:dyDescent="0.2">
      <c r="A1526" s="51" t="s">
        <v>1368</v>
      </c>
      <c r="B1526" s="108">
        <v>43282</v>
      </c>
      <c r="C1526" s="90">
        <v>43555</v>
      </c>
      <c r="D1526" s="188">
        <v>5</v>
      </c>
      <c r="E1526" s="124">
        <v>980.25</v>
      </c>
      <c r="F1526" s="124"/>
      <c r="G1526" s="39"/>
      <c r="H1526" s="48">
        <f t="shared" si="98"/>
        <v>980.25</v>
      </c>
      <c r="I1526" s="43">
        <f t="shared" si="97"/>
        <v>980.25</v>
      </c>
      <c r="J1526" s="38"/>
      <c r="K1526" s="65"/>
    </row>
    <row r="1527" spans="1:11" ht="24" outlineLevel="1" x14ac:dyDescent="0.2">
      <c r="A1527" s="51" t="s">
        <v>1369</v>
      </c>
      <c r="B1527" s="108">
        <v>43313</v>
      </c>
      <c r="C1527" s="90">
        <v>43646</v>
      </c>
      <c r="D1527" s="188">
        <v>5</v>
      </c>
      <c r="E1527" s="124">
        <v>3923.65</v>
      </c>
      <c r="F1527" s="124"/>
      <c r="G1527" s="39"/>
      <c r="H1527" s="48">
        <f t="shared" si="98"/>
        <v>3923.65</v>
      </c>
      <c r="I1527" s="43">
        <f t="shared" si="97"/>
        <v>3923.65</v>
      </c>
      <c r="J1527" s="38"/>
      <c r="K1527" s="65"/>
    </row>
    <row r="1528" spans="1:11" ht="24" outlineLevel="1" x14ac:dyDescent="0.2">
      <c r="A1528" s="51" t="s">
        <v>395</v>
      </c>
      <c r="B1528" s="108">
        <v>43132</v>
      </c>
      <c r="C1528" s="107">
        <v>43524</v>
      </c>
      <c r="D1528" s="188">
        <v>15</v>
      </c>
      <c r="E1528" s="124">
        <v>5326.06</v>
      </c>
      <c r="F1528" s="124">
        <v>45000</v>
      </c>
      <c r="G1528" s="39"/>
      <c r="H1528" s="48">
        <f t="shared" si="98"/>
        <v>50326.06</v>
      </c>
      <c r="I1528" s="43">
        <f t="shared" si="97"/>
        <v>50326.06</v>
      </c>
      <c r="J1528" s="38"/>
      <c r="K1528" s="65"/>
    </row>
    <row r="1529" spans="1:11" ht="24" outlineLevel="1" x14ac:dyDescent="0.2">
      <c r="A1529" s="51" t="s">
        <v>396</v>
      </c>
      <c r="B1529" s="108">
        <v>43132</v>
      </c>
      <c r="C1529" s="107">
        <v>43465</v>
      </c>
      <c r="D1529" s="188">
        <v>10</v>
      </c>
      <c r="E1529" s="124">
        <v>1157.8900000000001</v>
      </c>
      <c r="F1529" s="124">
        <v>1600</v>
      </c>
      <c r="G1529" s="39"/>
      <c r="H1529" s="48">
        <f t="shared" si="98"/>
        <v>2757.8900000000003</v>
      </c>
      <c r="I1529" s="43">
        <f t="shared" si="97"/>
        <v>2757.8900000000003</v>
      </c>
      <c r="J1529" s="38"/>
      <c r="K1529" s="65"/>
    </row>
    <row r="1530" spans="1:11" ht="24" outlineLevel="1" x14ac:dyDescent="0.2">
      <c r="A1530" s="51" t="s">
        <v>397</v>
      </c>
      <c r="B1530" s="108">
        <v>43132</v>
      </c>
      <c r="C1530" s="107">
        <v>43465</v>
      </c>
      <c r="D1530" s="188">
        <v>10</v>
      </c>
      <c r="E1530" s="124">
        <v>1157.8900000000001</v>
      </c>
      <c r="F1530" s="124">
        <v>1600</v>
      </c>
      <c r="G1530" s="39"/>
      <c r="H1530" s="48">
        <f t="shared" si="98"/>
        <v>2757.8900000000003</v>
      </c>
      <c r="I1530" s="43">
        <f t="shared" si="97"/>
        <v>2757.8900000000003</v>
      </c>
      <c r="J1530" s="38"/>
      <c r="K1530" s="65"/>
    </row>
    <row r="1531" spans="1:11" ht="24" outlineLevel="1" x14ac:dyDescent="0.2">
      <c r="A1531" s="51" t="s">
        <v>398</v>
      </c>
      <c r="B1531" s="108">
        <v>43160</v>
      </c>
      <c r="C1531" s="107">
        <v>43465</v>
      </c>
      <c r="D1531" s="188">
        <v>5</v>
      </c>
      <c r="E1531" s="124">
        <v>2184.13</v>
      </c>
      <c r="F1531" s="124"/>
      <c r="G1531" s="39"/>
      <c r="H1531" s="48">
        <f t="shared" si="98"/>
        <v>2184.13</v>
      </c>
      <c r="I1531" s="43">
        <f t="shared" si="97"/>
        <v>2184.13</v>
      </c>
      <c r="J1531" s="38"/>
      <c r="K1531" s="65"/>
    </row>
    <row r="1532" spans="1:11" ht="24" outlineLevel="1" x14ac:dyDescent="0.2">
      <c r="A1532" s="51" t="s">
        <v>265</v>
      </c>
      <c r="B1532" s="108">
        <v>43009</v>
      </c>
      <c r="C1532" s="107">
        <v>43585</v>
      </c>
      <c r="D1532" s="188">
        <v>15</v>
      </c>
      <c r="E1532" s="124">
        <v>6035.26</v>
      </c>
      <c r="F1532" s="124">
        <v>13500</v>
      </c>
      <c r="G1532" s="39"/>
      <c r="H1532" s="48">
        <f t="shared" si="98"/>
        <v>19535.260000000002</v>
      </c>
      <c r="I1532" s="43">
        <f t="shared" si="97"/>
        <v>19535.260000000002</v>
      </c>
      <c r="J1532" s="38"/>
      <c r="K1532" s="65"/>
    </row>
    <row r="1533" spans="1:11" ht="24" outlineLevel="1" x14ac:dyDescent="0.2">
      <c r="A1533" s="51" t="s">
        <v>1370</v>
      </c>
      <c r="B1533" s="108">
        <v>43282</v>
      </c>
      <c r="C1533" s="90">
        <v>43434</v>
      </c>
      <c r="D1533" s="188">
        <v>10</v>
      </c>
      <c r="E1533" s="124">
        <v>1633.83</v>
      </c>
      <c r="F1533" s="124">
        <v>1600</v>
      </c>
      <c r="G1533" s="39"/>
      <c r="H1533" s="48">
        <f t="shared" si="98"/>
        <v>3233.83</v>
      </c>
      <c r="I1533" s="43">
        <f t="shared" si="97"/>
        <v>3233.83</v>
      </c>
      <c r="J1533" s="38"/>
      <c r="K1533" s="65"/>
    </row>
    <row r="1534" spans="1:11" ht="24" outlineLevel="1" x14ac:dyDescent="0.2">
      <c r="A1534" s="51" t="s">
        <v>1371</v>
      </c>
      <c r="B1534" s="108">
        <v>43282</v>
      </c>
      <c r="C1534" s="90">
        <v>43555</v>
      </c>
      <c r="D1534" s="188">
        <v>5</v>
      </c>
      <c r="E1534" s="124">
        <v>9992.52</v>
      </c>
      <c r="F1534" s="124"/>
      <c r="G1534" s="39"/>
      <c r="H1534" s="48">
        <f t="shared" si="98"/>
        <v>9992.52</v>
      </c>
      <c r="I1534" s="43">
        <f t="shared" si="97"/>
        <v>9992.52</v>
      </c>
      <c r="J1534" s="38"/>
      <c r="K1534" s="65"/>
    </row>
    <row r="1535" spans="1:11" ht="24" outlineLevel="1" x14ac:dyDescent="0.2">
      <c r="A1535" s="51" t="s">
        <v>123</v>
      </c>
      <c r="B1535" s="108">
        <v>42887</v>
      </c>
      <c r="C1535" s="90">
        <v>43616</v>
      </c>
      <c r="D1535" s="188">
        <v>15</v>
      </c>
      <c r="E1535" s="124">
        <v>8835.35</v>
      </c>
      <c r="F1535" s="137">
        <v>17000</v>
      </c>
      <c r="G1535" s="39"/>
      <c r="H1535" s="48">
        <f t="shared" si="98"/>
        <v>25835.35</v>
      </c>
      <c r="I1535" s="43">
        <f t="shared" si="97"/>
        <v>25835.35</v>
      </c>
      <c r="J1535" s="38"/>
      <c r="K1535" s="65"/>
    </row>
    <row r="1536" spans="1:11" ht="24" outlineLevel="1" x14ac:dyDescent="0.2">
      <c r="A1536" s="51" t="s">
        <v>1372</v>
      </c>
      <c r="B1536" s="108">
        <v>43313</v>
      </c>
      <c r="C1536" s="90">
        <v>43496</v>
      </c>
      <c r="D1536" s="188">
        <v>5</v>
      </c>
      <c r="E1536" s="124">
        <v>3923.65</v>
      </c>
      <c r="F1536" s="124"/>
      <c r="G1536" s="39"/>
      <c r="H1536" s="48">
        <f t="shared" si="98"/>
        <v>3923.65</v>
      </c>
      <c r="I1536" s="43">
        <f t="shared" si="97"/>
        <v>3923.65</v>
      </c>
      <c r="J1536" s="38"/>
      <c r="K1536" s="65"/>
    </row>
    <row r="1537" spans="1:11" ht="24" outlineLevel="1" x14ac:dyDescent="0.2">
      <c r="A1537" s="51" t="s">
        <v>1373</v>
      </c>
      <c r="B1537" s="108">
        <v>43344</v>
      </c>
      <c r="C1537" s="107">
        <v>43465</v>
      </c>
      <c r="D1537" s="188">
        <v>5</v>
      </c>
      <c r="E1537" s="124">
        <v>1851.67</v>
      </c>
      <c r="F1537" s="124"/>
      <c r="G1537" s="39"/>
      <c r="H1537" s="48">
        <f t="shared" si="98"/>
        <v>1851.67</v>
      </c>
      <c r="I1537" s="43">
        <f t="shared" si="97"/>
        <v>1851.67</v>
      </c>
      <c r="J1537" s="38"/>
      <c r="K1537" s="65"/>
    </row>
    <row r="1538" spans="1:11" ht="12.75" outlineLevel="1" x14ac:dyDescent="0.2">
      <c r="A1538" s="51" t="s">
        <v>1374</v>
      </c>
      <c r="B1538" s="108">
        <v>43344</v>
      </c>
      <c r="C1538" s="90">
        <v>43434</v>
      </c>
      <c r="D1538" s="188">
        <v>5</v>
      </c>
      <c r="E1538" s="124">
        <v>1307.3499999999999</v>
      </c>
      <c r="F1538" s="124"/>
      <c r="G1538" s="39"/>
      <c r="H1538" s="48">
        <f t="shared" si="98"/>
        <v>1307.3499999999999</v>
      </c>
      <c r="I1538" s="43">
        <f t="shared" si="97"/>
        <v>1307.3499999999999</v>
      </c>
      <c r="J1538" s="38"/>
      <c r="K1538" s="65"/>
    </row>
    <row r="1539" spans="1:11" ht="24" outlineLevel="1" x14ac:dyDescent="0.2">
      <c r="A1539" s="51" t="s">
        <v>124</v>
      </c>
      <c r="B1539" s="108">
        <v>42705</v>
      </c>
      <c r="C1539" s="107">
        <v>43404</v>
      </c>
      <c r="D1539" s="188">
        <v>15</v>
      </c>
      <c r="E1539" s="124">
        <v>6369.83</v>
      </c>
      <c r="F1539" s="140">
        <v>20559.8</v>
      </c>
      <c r="G1539" s="39"/>
      <c r="H1539" s="48">
        <f t="shared" si="98"/>
        <v>26929.629999999997</v>
      </c>
      <c r="I1539" s="43">
        <f t="shared" si="97"/>
        <v>26929.629999999997</v>
      </c>
      <c r="J1539" s="38"/>
      <c r="K1539" s="65"/>
    </row>
    <row r="1540" spans="1:11" ht="24" outlineLevel="1" x14ac:dyDescent="0.2">
      <c r="A1540" s="51" t="s">
        <v>125</v>
      </c>
      <c r="B1540" s="108">
        <v>42614</v>
      </c>
      <c r="C1540" s="107">
        <v>43404</v>
      </c>
      <c r="D1540" s="188">
        <v>20</v>
      </c>
      <c r="E1540" s="124">
        <v>11894.44</v>
      </c>
      <c r="F1540" s="140">
        <v>120849.8</v>
      </c>
      <c r="G1540" s="39"/>
      <c r="H1540" s="48">
        <f t="shared" si="98"/>
        <v>132744.24</v>
      </c>
      <c r="I1540" s="43">
        <f t="shared" si="97"/>
        <v>132744.24</v>
      </c>
      <c r="J1540" s="38"/>
      <c r="K1540" s="65"/>
    </row>
    <row r="1541" spans="1:11" ht="24" outlineLevel="1" x14ac:dyDescent="0.2">
      <c r="A1541" s="51" t="s">
        <v>935</v>
      </c>
      <c r="B1541" s="108">
        <v>43191</v>
      </c>
      <c r="C1541" s="107">
        <v>43646</v>
      </c>
      <c r="D1541" s="188">
        <v>5</v>
      </c>
      <c r="E1541" s="124">
        <v>1927.52</v>
      </c>
      <c r="F1541" s="124"/>
      <c r="G1541" s="39"/>
      <c r="H1541" s="48">
        <f t="shared" si="98"/>
        <v>1927.52</v>
      </c>
      <c r="I1541" s="43">
        <f t="shared" si="97"/>
        <v>1927.52</v>
      </c>
      <c r="J1541" s="38"/>
      <c r="K1541" s="65"/>
    </row>
    <row r="1542" spans="1:11" ht="24" outlineLevel="1" x14ac:dyDescent="0.2">
      <c r="A1542" s="51" t="s">
        <v>1375</v>
      </c>
      <c r="B1542" s="108">
        <v>43344</v>
      </c>
      <c r="C1542" s="90">
        <v>43616</v>
      </c>
      <c r="D1542" s="188">
        <v>5</v>
      </c>
      <c r="E1542" s="124">
        <v>2314.6</v>
      </c>
      <c r="F1542" s="124"/>
      <c r="G1542" s="39"/>
      <c r="H1542" s="48">
        <f t="shared" si="98"/>
        <v>2314.6</v>
      </c>
      <c r="I1542" s="43">
        <f t="shared" si="97"/>
        <v>2314.6</v>
      </c>
      <c r="J1542" s="38"/>
      <c r="K1542" s="65"/>
    </row>
    <row r="1543" spans="1:11" ht="24" outlineLevel="1" x14ac:dyDescent="0.2">
      <c r="A1543" s="51" t="s">
        <v>936</v>
      </c>
      <c r="B1543" s="108">
        <v>43252</v>
      </c>
      <c r="C1543" s="90">
        <v>43465</v>
      </c>
      <c r="D1543" s="188">
        <v>5</v>
      </c>
      <c r="E1543" s="124">
        <v>1851.66</v>
      </c>
      <c r="F1543" s="124"/>
      <c r="G1543" s="39"/>
      <c r="H1543" s="48">
        <f t="shared" si="98"/>
        <v>1851.66</v>
      </c>
      <c r="I1543" s="43">
        <f t="shared" si="97"/>
        <v>1851.66</v>
      </c>
      <c r="J1543" s="38"/>
      <c r="K1543" s="65"/>
    </row>
    <row r="1544" spans="1:11" ht="24" outlineLevel="1" x14ac:dyDescent="0.2">
      <c r="A1544" s="51" t="s">
        <v>1376</v>
      </c>
      <c r="B1544" s="108">
        <v>43282</v>
      </c>
      <c r="C1544" s="90">
        <v>43496</v>
      </c>
      <c r="D1544" s="188">
        <v>5</v>
      </c>
      <c r="E1544" s="124">
        <v>1851.66</v>
      </c>
      <c r="F1544" s="124"/>
      <c r="G1544" s="39"/>
      <c r="H1544" s="48">
        <f t="shared" si="98"/>
        <v>1851.66</v>
      </c>
      <c r="I1544" s="43">
        <f t="shared" si="97"/>
        <v>1851.66</v>
      </c>
      <c r="J1544" s="38"/>
      <c r="K1544" s="65"/>
    </row>
    <row r="1545" spans="1:11" ht="24" outlineLevel="1" x14ac:dyDescent="0.2">
      <c r="A1545" s="51" t="s">
        <v>1377</v>
      </c>
      <c r="B1545" s="108">
        <v>43313</v>
      </c>
      <c r="C1545" s="90">
        <v>43585</v>
      </c>
      <c r="D1545" s="188">
        <v>5</v>
      </c>
      <c r="E1545" s="124">
        <v>3923.66</v>
      </c>
      <c r="F1545" s="124"/>
      <c r="G1545" s="39"/>
      <c r="H1545" s="48">
        <f t="shared" si="98"/>
        <v>3923.66</v>
      </c>
      <c r="I1545" s="43">
        <f t="shared" si="97"/>
        <v>3923.66</v>
      </c>
      <c r="J1545" s="38"/>
      <c r="K1545" s="65"/>
    </row>
    <row r="1546" spans="1:11" ht="24" outlineLevel="1" x14ac:dyDescent="0.2">
      <c r="A1546" s="51" t="s">
        <v>126</v>
      </c>
      <c r="B1546" s="108">
        <v>42795</v>
      </c>
      <c r="C1546" s="107">
        <v>43465</v>
      </c>
      <c r="D1546" s="188">
        <v>5</v>
      </c>
      <c r="E1546" s="124">
        <v>3162.2</v>
      </c>
      <c r="F1546" s="140"/>
      <c r="G1546" s="39"/>
      <c r="H1546" s="48">
        <f t="shared" si="98"/>
        <v>3162.2</v>
      </c>
      <c r="I1546" s="43">
        <f t="shared" si="97"/>
        <v>3162.2</v>
      </c>
      <c r="J1546" s="38"/>
      <c r="K1546" s="65"/>
    </row>
    <row r="1547" spans="1:11" ht="24" outlineLevel="1" x14ac:dyDescent="0.2">
      <c r="A1547" s="51" t="s">
        <v>1378</v>
      </c>
      <c r="B1547" s="108">
        <v>43344</v>
      </c>
      <c r="C1547" s="107">
        <v>43404</v>
      </c>
      <c r="D1547" s="188">
        <v>5</v>
      </c>
      <c r="E1547" s="124">
        <v>1633.83</v>
      </c>
      <c r="F1547" s="124"/>
      <c r="G1547" s="39"/>
      <c r="H1547" s="48">
        <f t="shared" si="98"/>
        <v>1633.83</v>
      </c>
      <c r="I1547" s="43">
        <f t="shared" si="97"/>
        <v>1633.83</v>
      </c>
      <c r="J1547" s="38"/>
      <c r="K1547" s="65"/>
    </row>
    <row r="1548" spans="1:11" ht="24" outlineLevel="1" x14ac:dyDescent="0.2">
      <c r="A1548" s="51" t="s">
        <v>620</v>
      </c>
      <c r="B1548" s="108">
        <v>42491</v>
      </c>
      <c r="C1548" s="90">
        <v>43646</v>
      </c>
      <c r="D1548" s="188">
        <v>5</v>
      </c>
      <c r="E1548" s="124">
        <v>38601.620000000003</v>
      </c>
      <c r="F1548" s="140"/>
      <c r="G1548" s="39"/>
      <c r="H1548" s="48">
        <f t="shared" si="98"/>
        <v>38601.620000000003</v>
      </c>
      <c r="I1548" s="43">
        <f t="shared" si="97"/>
        <v>38601.620000000003</v>
      </c>
      <c r="J1548" s="38"/>
      <c r="K1548" s="65"/>
    </row>
    <row r="1549" spans="1:11" ht="24" outlineLevel="1" x14ac:dyDescent="0.2">
      <c r="A1549" s="51" t="s">
        <v>621</v>
      </c>
      <c r="B1549" s="108">
        <v>42339</v>
      </c>
      <c r="C1549" s="90">
        <v>43465</v>
      </c>
      <c r="D1549" s="188">
        <v>5</v>
      </c>
      <c r="E1549" s="124">
        <v>37626</v>
      </c>
      <c r="F1549" s="140"/>
      <c r="G1549" s="39"/>
      <c r="H1549" s="48">
        <f t="shared" si="98"/>
        <v>37626</v>
      </c>
      <c r="I1549" s="43">
        <f t="shared" si="97"/>
        <v>37626</v>
      </c>
      <c r="J1549" s="38"/>
      <c r="K1549" s="65"/>
    </row>
    <row r="1550" spans="1:11" x14ac:dyDescent="0.2">
      <c r="A1550" s="50"/>
      <c r="B1550" s="89"/>
      <c r="C1550" s="89"/>
      <c r="D1550" s="130"/>
      <c r="E1550" s="58">
        <f>SUM(E1383:E1549)</f>
        <v>675336.78000000014</v>
      </c>
      <c r="F1550" s="58">
        <f>SUM(F1383:F1549)</f>
        <v>1099667.69</v>
      </c>
      <c r="G1550" s="58">
        <f>SUM(G1383:G1549)</f>
        <v>0</v>
      </c>
      <c r="H1550" s="48">
        <f>SUM(H1385:H1549)</f>
        <v>1775004.4699999995</v>
      </c>
      <c r="I1550" s="48">
        <f>SUM(I1383:I1549)</f>
        <v>1775004.4699999995</v>
      </c>
      <c r="J1550" s="71"/>
      <c r="K1550" s="65"/>
    </row>
    <row r="1551" spans="1:11" x14ac:dyDescent="0.2">
      <c r="A1551" s="50"/>
      <c r="B1551" s="89"/>
      <c r="C1551" s="89"/>
      <c r="D1551" s="130"/>
      <c r="E1551" s="58"/>
      <c r="F1551" s="58"/>
      <c r="G1551" s="58"/>
      <c r="H1551" s="48"/>
      <c r="I1551" s="48"/>
      <c r="J1551" s="71"/>
      <c r="K1551" s="65"/>
    </row>
    <row r="1552" spans="1:11" ht="24" x14ac:dyDescent="0.2">
      <c r="A1552" s="40" t="s">
        <v>411</v>
      </c>
      <c r="B1552" s="89"/>
      <c r="C1552" s="90"/>
      <c r="D1552" s="187"/>
      <c r="E1552" s="61"/>
      <c r="F1552" s="61"/>
      <c r="G1552" s="14"/>
      <c r="H1552" s="33"/>
      <c r="I1552" s="43"/>
      <c r="J1552" s="14"/>
      <c r="K1552" s="65"/>
    </row>
    <row r="1553" spans="1:11" ht="24" outlineLevel="1" x14ac:dyDescent="0.2">
      <c r="A1553" s="152" t="s">
        <v>412</v>
      </c>
      <c r="B1553" s="198" t="s">
        <v>413</v>
      </c>
      <c r="C1553" s="198" t="s">
        <v>414</v>
      </c>
      <c r="D1553" s="141">
        <v>10</v>
      </c>
      <c r="E1553" s="143">
        <f>I1553</f>
        <v>44430</v>
      </c>
      <c r="F1553" s="39"/>
      <c r="G1553" s="142"/>
      <c r="H1553" s="144">
        <f>E1553</f>
        <v>44430</v>
      </c>
      <c r="I1553" s="121">
        <v>44430</v>
      </c>
      <c r="J1553" s="38"/>
      <c r="K1553" s="38"/>
    </row>
    <row r="1554" spans="1:11" outlineLevel="1" x14ac:dyDescent="0.2">
      <c r="A1554" s="152" t="s">
        <v>266</v>
      </c>
      <c r="B1554" s="198" t="s">
        <v>415</v>
      </c>
      <c r="C1554" s="198" t="s">
        <v>416</v>
      </c>
      <c r="D1554" s="141">
        <v>10</v>
      </c>
      <c r="E1554" s="143">
        <f>I1554</f>
        <v>2648</v>
      </c>
      <c r="F1554" s="39"/>
      <c r="G1554" s="142"/>
      <c r="H1554" s="144">
        <f>E1554</f>
        <v>2648</v>
      </c>
      <c r="I1554" s="121">
        <v>2648</v>
      </c>
      <c r="J1554" s="38"/>
      <c r="K1554" s="38"/>
    </row>
    <row r="1555" spans="1:11" ht="30.75" customHeight="1" outlineLevel="1" x14ac:dyDescent="0.2">
      <c r="A1555" s="152" t="s">
        <v>1622</v>
      </c>
      <c r="B1555" s="198">
        <v>43373</v>
      </c>
      <c r="C1555" s="198">
        <v>43465</v>
      </c>
      <c r="D1555" s="141">
        <v>10</v>
      </c>
      <c r="E1555" s="143"/>
      <c r="F1555" s="39">
        <v>0.05</v>
      </c>
      <c r="G1555" s="142"/>
      <c r="H1555" s="144">
        <f>E1555+F1555+G1555</f>
        <v>0.05</v>
      </c>
      <c r="I1555" s="121">
        <f>H1555</f>
        <v>0.05</v>
      </c>
      <c r="J1555" s="38"/>
      <c r="K1555" s="38"/>
    </row>
    <row r="1556" spans="1:11" outlineLevel="1" x14ac:dyDescent="0.2">
      <c r="A1556" s="152" t="s">
        <v>267</v>
      </c>
      <c r="B1556" s="198" t="s">
        <v>417</v>
      </c>
      <c r="C1556" s="198" t="s">
        <v>418</v>
      </c>
      <c r="D1556" s="141">
        <v>10</v>
      </c>
      <c r="E1556" s="143">
        <f>I1556</f>
        <v>6540</v>
      </c>
      <c r="F1556" s="39"/>
      <c r="G1556" s="142"/>
      <c r="H1556" s="144">
        <f>E1556</f>
        <v>6540</v>
      </c>
      <c r="I1556" s="121">
        <v>6540</v>
      </c>
      <c r="J1556" s="38"/>
      <c r="K1556" s="38"/>
    </row>
    <row r="1557" spans="1:11" ht="24" outlineLevel="1" x14ac:dyDescent="0.2">
      <c r="A1557" s="152" t="s">
        <v>268</v>
      </c>
      <c r="B1557" s="198" t="s">
        <v>419</v>
      </c>
      <c r="C1557" s="198" t="s">
        <v>420</v>
      </c>
      <c r="D1557" s="141">
        <v>10</v>
      </c>
      <c r="E1557" s="143">
        <f>I1557</f>
        <v>92021</v>
      </c>
      <c r="F1557" s="39"/>
      <c r="G1557" s="142"/>
      <c r="H1557" s="144">
        <f>E1557</f>
        <v>92021</v>
      </c>
      <c r="I1557" s="121">
        <v>92021</v>
      </c>
      <c r="J1557" s="38"/>
      <c r="K1557" s="38"/>
    </row>
    <row r="1558" spans="1:11" x14ac:dyDescent="0.2">
      <c r="A1558" s="82"/>
      <c r="B1558" s="107"/>
      <c r="C1558" s="108"/>
      <c r="D1558" s="159"/>
      <c r="E1558" s="48">
        <f>SUM(E1552:E1557)</f>
        <v>145639</v>
      </c>
      <c r="F1558" s="48">
        <f>SUM(F1552:F1557)</f>
        <v>0.05</v>
      </c>
      <c r="G1558" s="48">
        <f>SUM(G1552:G1557)</f>
        <v>0</v>
      </c>
      <c r="H1558" s="48">
        <f>SUM(H1552:H1557)</f>
        <v>145639.04999999999</v>
      </c>
      <c r="I1558" s="48">
        <f>SUM(I1552:I1557)</f>
        <v>145639.04999999999</v>
      </c>
      <c r="J1558" s="71"/>
      <c r="K1558" s="65"/>
    </row>
    <row r="1559" spans="1:11" x14ac:dyDescent="0.2">
      <c r="A1559" s="82"/>
      <c r="B1559" s="107"/>
      <c r="C1559" s="108"/>
      <c r="D1559" s="159"/>
      <c r="E1559" s="48"/>
      <c r="F1559" s="48"/>
      <c r="G1559" s="48"/>
      <c r="H1559" s="48"/>
      <c r="I1559" s="48"/>
      <c r="J1559" s="71"/>
      <c r="K1559" s="65"/>
    </row>
    <row r="1560" spans="1:11" ht="24" x14ac:dyDescent="0.2">
      <c r="A1560" s="40" t="s">
        <v>1608</v>
      </c>
      <c r="B1560" s="199"/>
      <c r="C1560" s="200"/>
      <c r="D1560" s="191"/>
      <c r="E1560" s="61"/>
      <c r="F1560" s="61"/>
      <c r="G1560" s="169"/>
      <c r="H1560" s="62"/>
      <c r="I1560" s="185"/>
      <c r="J1560" s="169"/>
      <c r="K1560" s="170"/>
    </row>
    <row r="1561" spans="1:11" outlineLevel="1" x14ac:dyDescent="0.2">
      <c r="A1561" s="153" t="s">
        <v>1609</v>
      </c>
      <c r="B1561" s="201">
        <v>43313</v>
      </c>
      <c r="C1561" s="201">
        <v>43465</v>
      </c>
      <c r="D1561" s="192">
        <v>47</v>
      </c>
      <c r="E1561" s="171">
        <v>61283.83</v>
      </c>
      <c r="F1561" s="171">
        <v>309283.31</v>
      </c>
      <c r="G1561" s="171">
        <v>0</v>
      </c>
      <c r="H1561" s="186">
        <v>370567.14</v>
      </c>
      <c r="I1561" s="186">
        <v>370567.14</v>
      </c>
      <c r="J1561" s="172">
        <f t="shared" ref="J1561:J1564" si="99">H1561-I1561</f>
        <v>0</v>
      </c>
      <c r="K1561" s="172">
        <f t="shared" ref="K1561:K1564" si="100">H1561-I1561</f>
        <v>0</v>
      </c>
    </row>
    <row r="1562" spans="1:11" outlineLevel="1" x14ac:dyDescent="0.2">
      <c r="A1562" s="153" t="s">
        <v>1610</v>
      </c>
      <c r="B1562" s="201">
        <v>43313</v>
      </c>
      <c r="C1562" s="201">
        <v>43465</v>
      </c>
      <c r="D1562" s="192">
        <v>95</v>
      </c>
      <c r="E1562" s="171">
        <v>6122.74</v>
      </c>
      <c r="F1562" s="171">
        <v>24318.33</v>
      </c>
      <c r="G1562" s="171">
        <v>0</v>
      </c>
      <c r="H1562" s="186">
        <v>30441.07</v>
      </c>
      <c r="I1562" s="186">
        <v>30441.07</v>
      </c>
      <c r="J1562" s="172">
        <f t="shared" si="99"/>
        <v>0</v>
      </c>
      <c r="K1562" s="172">
        <f t="shared" si="100"/>
        <v>0</v>
      </c>
    </row>
    <row r="1563" spans="1:11" ht="24" outlineLevel="1" x14ac:dyDescent="0.2">
      <c r="A1563" s="153" t="s">
        <v>1611</v>
      </c>
      <c r="B1563" s="201">
        <v>43313</v>
      </c>
      <c r="C1563" s="201">
        <v>43465</v>
      </c>
      <c r="D1563" s="192">
        <v>95</v>
      </c>
      <c r="E1563" s="171">
        <v>13592.52</v>
      </c>
      <c r="F1563" s="171">
        <v>91803.33</v>
      </c>
      <c r="G1563" s="171">
        <v>0</v>
      </c>
      <c r="H1563" s="186">
        <v>105395.85</v>
      </c>
      <c r="I1563" s="186">
        <v>105395.85</v>
      </c>
      <c r="J1563" s="172">
        <f t="shared" si="99"/>
        <v>0</v>
      </c>
      <c r="K1563" s="172">
        <f t="shared" si="100"/>
        <v>0</v>
      </c>
    </row>
    <row r="1564" spans="1:11" outlineLevel="1" x14ac:dyDescent="0.2">
      <c r="A1564" s="153" t="s">
        <v>1612</v>
      </c>
      <c r="B1564" s="201">
        <v>43344</v>
      </c>
      <c r="C1564" s="201">
        <v>43465</v>
      </c>
      <c r="D1564" s="192">
        <v>10</v>
      </c>
      <c r="E1564" s="171">
        <v>0</v>
      </c>
      <c r="F1564" s="171">
        <v>567.16999999999996</v>
      </c>
      <c r="G1564" s="171">
        <v>0</v>
      </c>
      <c r="H1564" s="186">
        <v>567.16999999999996</v>
      </c>
      <c r="I1564" s="186">
        <v>567.16999999999996</v>
      </c>
      <c r="J1564" s="172">
        <f t="shared" si="99"/>
        <v>0</v>
      </c>
      <c r="K1564" s="172">
        <f t="shared" si="100"/>
        <v>0</v>
      </c>
    </row>
    <row r="1565" spans="1:11" ht="14.25" outlineLevel="1" x14ac:dyDescent="0.2">
      <c r="A1565" s="153" t="s">
        <v>1613</v>
      </c>
      <c r="B1565" s="201">
        <v>43313</v>
      </c>
      <c r="C1565" s="201">
        <v>43465</v>
      </c>
      <c r="D1565" s="192">
        <v>36</v>
      </c>
      <c r="E1565" s="171">
        <v>15306.85</v>
      </c>
      <c r="F1565" s="171">
        <v>87998.38</v>
      </c>
      <c r="G1565" s="171">
        <v>0</v>
      </c>
      <c r="H1565" s="186">
        <v>103305.23</v>
      </c>
      <c r="I1565" s="186">
        <v>103305.23</v>
      </c>
      <c r="J1565" s="173">
        <f>SUM(J1561:J1563)</f>
        <v>0</v>
      </c>
      <c r="K1565" s="173">
        <f>SUM(K1561:K1563)</f>
        <v>0</v>
      </c>
    </row>
    <row r="1566" spans="1:11" x14ac:dyDescent="0.2">
      <c r="A1566" s="162"/>
      <c r="B1566" s="199"/>
      <c r="C1566" s="199"/>
      <c r="D1566" s="193"/>
      <c r="E1566" s="174">
        <f>SUM(E1560:E1565)</f>
        <v>96305.940000000017</v>
      </c>
      <c r="F1566" s="174">
        <f>SUM(F1560:F1565)</f>
        <v>513970.52</v>
      </c>
      <c r="G1566" s="174">
        <f>SUM(G1560:G1565)</f>
        <v>0</v>
      </c>
      <c r="H1566" s="174">
        <f>SUM(H1561:H1565)</f>
        <v>610276.46000000008</v>
      </c>
      <c r="I1566" s="174">
        <f>SUM(I1560:I1565)</f>
        <v>610276.46000000008</v>
      </c>
      <c r="J1566" s="175">
        <v>0</v>
      </c>
      <c r="K1566" s="176">
        <v>0</v>
      </c>
    </row>
    <row r="1567" spans="1:11" x14ac:dyDescent="0.2">
      <c r="A1567" s="82"/>
      <c r="B1567" s="107"/>
      <c r="C1567" s="108"/>
      <c r="D1567" s="159"/>
      <c r="E1567" s="48"/>
      <c r="F1567" s="48"/>
      <c r="G1567" s="48"/>
      <c r="H1567" s="48"/>
      <c r="I1567" s="48"/>
      <c r="J1567" s="71"/>
      <c r="K1567" s="65"/>
    </row>
    <row r="1568" spans="1:11" ht="24" x14ac:dyDescent="0.2">
      <c r="A1568" s="19" t="s">
        <v>598</v>
      </c>
      <c r="B1568" s="89"/>
      <c r="C1568" s="89"/>
      <c r="D1568" s="130"/>
      <c r="E1568" s="14"/>
      <c r="F1568" s="14"/>
      <c r="G1568" s="14"/>
      <c r="H1568" s="48"/>
      <c r="I1568" s="48"/>
      <c r="J1568" s="73"/>
      <c r="K1568" s="65"/>
    </row>
    <row r="1569" spans="1:11" ht="24" outlineLevel="1" x14ac:dyDescent="0.2">
      <c r="A1569" s="21" t="s">
        <v>622</v>
      </c>
      <c r="B1569" s="107">
        <v>42578</v>
      </c>
      <c r="C1569" s="108">
        <v>43465</v>
      </c>
      <c r="D1569" s="159">
        <v>90</v>
      </c>
      <c r="E1569" s="123">
        <v>70000</v>
      </c>
      <c r="F1569" s="123">
        <v>113513.3</v>
      </c>
      <c r="G1569" s="123"/>
      <c r="H1569" s="48">
        <f>F1569+E1569+G1569</f>
        <v>183513.3</v>
      </c>
      <c r="I1569" s="43">
        <f>H1569</f>
        <v>183513.3</v>
      </c>
      <c r="J1569" s="38"/>
      <c r="K1569" s="38"/>
    </row>
    <row r="1570" spans="1:11" ht="24" outlineLevel="1" x14ac:dyDescent="0.2">
      <c r="A1570" s="21" t="s">
        <v>623</v>
      </c>
      <c r="B1570" s="107">
        <v>42674</v>
      </c>
      <c r="C1570" s="108">
        <v>43529</v>
      </c>
      <c r="D1570" s="159">
        <v>20</v>
      </c>
      <c r="E1570" s="123">
        <v>43496.76</v>
      </c>
      <c r="F1570" s="123"/>
      <c r="G1570" s="123"/>
      <c r="H1570" s="48">
        <f>F1570+E1570+G1570</f>
        <v>43496.76</v>
      </c>
      <c r="I1570" s="43">
        <f>H1570</f>
        <v>43496.76</v>
      </c>
      <c r="J1570" s="38"/>
      <c r="K1570" s="38"/>
    </row>
    <row r="1571" spans="1:11" x14ac:dyDescent="0.2">
      <c r="A1571" s="50"/>
      <c r="B1571" s="89"/>
      <c r="C1571" s="89"/>
      <c r="D1571" s="130"/>
      <c r="E1571" s="58">
        <f>SUM(E1568:E1570)</f>
        <v>113496.76000000001</v>
      </c>
      <c r="F1571" s="58">
        <f>SUM(F1568:F1570)</f>
        <v>113513.3</v>
      </c>
      <c r="G1571" s="58">
        <f>SUM(G1568:G1570)</f>
        <v>0</v>
      </c>
      <c r="H1571" s="48">
        <f>SUM(H1569:H1570)</f>
        <v>227010.06</v>
      </c>
      <c r="I1571" s="48">
        <f>SUM(I1568:I1570)</f>
        <v>227010.06</v>
      </c>
      <c r="J1571" s="71"/>
      <c r="K1571" s="115"/>
    </row>
    <row r="1572" spans="1:11" x14ac:dyDescent="0.2">
      <c r="A1572" s="17"/>
      <c r="B1572" s="89"/>
      <c r="C1572" s="89"/>
      <c r="D1572" s="130"/>
      <c r="E1572" s="14"/>
      <c r="F1572" s="14"/>
      <c r="G1572" s="14"/>
      <c r="H1572" s="48"/>
      <c r="I1572" s="48"/>
      <c r="J1572" s="73"/>
      <c r="K1572" s="65"/>
    </row>
    <row r="1573" spans="1:11" ht="27" customHeight="1" x14ac:dyDescent="0.2">
      <c r="A1573" s="40" t="s">
        <v>399</v>
      </c>
      <c r="B1573" s="96"/>
      <c r="C1573" s="97"/>
      <c r="D1573" s="141"/>
      <c r="E1573" s="99"/>
      <c r="F1573" s="99"/>
      <c r="G1573" s="100"/>
      <c r="H1573" s="101"/>
      <c r="I1573" s="102"/>
      <c r="J1573" s="14"/>
      <c r="K1573" s="39"/>
    </row>
    <row r="1574" spans="1:11" ht="24" outlineLevel="1" x14ac:dyDescent="0.2">
      <c r="A1574" s="49" t="s">
        <v>939</v>
      </c>
      <c r="B1574" s="96">
        <v>43269</v>
      </c>
      <c r="C1574" s="97">
        <v>43495</v>
      </c>
      <c r="D1574" s="141">
        <v>30</v>
      </c>
      <c r="E1574" s="100"/>
      <c r="F1574" s="182">
        <v>5901.33</v>
      </c>
      <c r="G1574" s="100"/>
      <c r="H1574" s="101">
        <f t="shared" ref="H1574:H1605" si="101">F1574+E1574</f>
        <v>5901.33</v>
      </c>
      <c r="I1574" s="102">
        <f t="shared" ref="I1574:I1637" si="102">H1574</f>
        <v>5901.33</v>
      </c>
      <c r="J1574" s="14"/>
      <c r="K1574" s="39"/>
    </row>
    <row r="1575" spans="1:11" ht="24" outlineLevel="1" x14ac:dyDescent="0.2">
      <c r="A1575" s="49" t="s">
        <v>946</v>
      </c>
      <c r="B1575" s="96">
        <v>43095</v>
      </c>
      <c r="C1575" s="97">
        <v>43464</v>
      </c>
      <c r="D1575" s="141">
        <v>70</v>
      </c>
      <c r="E1575" s="99"/>
      <c r="F1575" s="184">
        <v>28441</v>
      </c>
      <c r="G1575" s="100"/>
      <c r="H1575" s="101">
        <f t="shared" si="101"/>
        <v>28441</v>
      </c>
      <c r="I1575" s="102">
        <f t="shared" si="102"/>
        <v>28441</v>
      </c>
      <c r="J1575" s="14"/>
      <c r="K1575" s="39"/>
    </row>
    <row r="1576" spans="1:11" ht="24" outlineLevel="1" x14ac:dyDescent="0.2">
      <c r="A1576" s="49" t="s">
        <v>952</v>
      </c>
      <c r="B1576" s="96">
        <v>43272</v>
      </c>
      <c r="C1576" s="97">
        <v>43495</v>
      </c>
      <c r="D1576" s="141">
        <v>60</v>
      </c>
      <c r="E1576" s="99"/>
      <c r="F1576" s="100">
        <v>6353.38</v>
      </c>
      <c r="G1576" s="100"/>
      <c r="H1576" s="101">
        <f t="shared" si="101"/>
        <v>6353.38</v>
      </c>
      <c r="I1576" s="102">
        <f t="shared" si="102"/>
        <v>6353.38</v>
      </c>
      <c r="J1576" s="14"/>
      <c r="K1576" s="39"/>
    </row>
    <row r="1577" spans="1:11" outlineLevel="1" x14ac:dyDescent="0.2">
      <c r="A1577" s="49" t="s">
        <v>951</v>
      </c>
      <c r="B1577" s="96">
        <v>43147</v>
      </c>
      <c r="C1577" s="97">
        <v>43524</v>
      </c>
      <c r="D1577" s="141">
        <v>50</v>
      </c>
      <c r="E1577" s="99"/>
      <c r="F1577" s="100">
        <v>15736.98</v>
      </c>
      <c r="G1577" s="100"/>
      <c r="H1577" s="101">
        <f t="shared" si="101"/>
        <v>15736.98</v>
      </c>
      <c r="I1577" s="102">
        <f t="shared" si="102"/>
        <v>15736.98</v>
      </c>
      <c r="J1577" s="14"/>
      <c r="K1577" s="39"/>
    </row>
    <row r="1578" spans="1:11" ht="24" outlineLevel="1" x14ac:dyDescent="0.2">
      <c r="A1578" s="49" t="s">
        <v>959</v>
      </c>
      <c r="B1578" s="96">
        <v>43151</v>
      </c>
      <c r="C1578" s="97">
        <v>43495</v>
      </c>
      <c r="D1578" s="141">
        <v>50</v>
      </c>
      <c r="E1578" s="99"/>
      <c r="F1578" s="100">
        <v>25774.78</v>
      </c>
      <c r="G1578" s="100"/>
      <c r="H1578" s="101">
        <f t="shared" si="101"/>
        <v>25774.78</v>
      </c>
      <c r="I1578" s="102">
        <f t="shared" si="102"/>
        <v>25774.78</v>
      </c>
      <c r="J1578" s="14"/>
      <c r="K1578" s="39"/>
    </row>
    <row r="1579" spans="1:11" ht="24" outlineLevel="1" x14ac:dyDescent="0.2">
      <c r="A1579" s="49" t="s">
        <v>958</v>
      </c>
      <c r="B1579" s="96">
        <v>43265</v>
      </c>
      <c r="C1579" s="97">
        <v>43495</v>
      </c>
      <c r="D1579" s="141">
        <v>50</v>
      </c>
      <c r="E1579" s="99"/>
      <c r="F1579" s="100">
        <v>1934.42</v>
      </c>
      <c r="G1579" s="100"/>
      <c r="H1579" s="101">
        <f t="shared" si="101"/>
        <v>1934.42</v>
      </c>
      <c r="I1579" s="102">
        <f t="shared" si="102"/>
        <v>1934.42</v>
      </c>
      <c r="J1579" s="14"/>
      <c r="K1579" s="39"/>
    </row>
    <row r="1580" spans="1:11" outlineLevel="1" x14ac:dyDescent="0.2">
      <c r="A1580" s="49" t="s">
        <v>961</v>
      </c>
      <c r="B1580" s="96">
        <v>43174</v>
      </c>
      <c r="C1580" s="97">
        <v>43464</v>
      </c>
      <c r="D1580" s="141">
        <v>70</v>
      </c>
      <c r="E1580" s="99"/>
      <c r="F1580" s="100">
        <v>4790.6400000000003</v>
      </c>
      <c r="G1580" s="100"/>
      <c r="H1580" s="101">
        <f t="shared" si="101"/>
        <v>4790.6400000000003</v>
      </c>
      <c r="I1580" s="102">
        <f t="shared" si="102"/>
        <v>4790.6400000000003</v>
      </c>
      <c r="J1580" s="14"/>
      <c r="K1580" s="39"/>
    </row>
    <row r="1581" spans="1:11" outlineLevel="1" x14ac:dyDescent="0.2">
      <c r="A1581" s="49" t="s">
        <v>942</v>
      </c>
      <c r="B1581" s="96">
        <v>43193</v>
      </c>
      <c r="C1581" s="97">
        <v>43464</v>
      </c>
      <c r="D1581" s="141">
        <v>70</v>
      </c>
      <c r="E1581" s="99"/>
      <c r="F1581" s="100">
        <v>70021.06</v>
      </c>
      <c r="G1581" s="100"/>
      <c r="H1581" s="101">
        <f t="shared" si="101"/>
        <v>70021.06</v>
      </c>
      <c r="I1581" s="102">
        <f t="shared" si="102"/>
        <v>70021.06</v>
      </c>
      <c r="J1581" s="14"/>
      <c r="K1581" s="39"/>
    </row>
    <row r="1582" spans="1:11" ht="24" outlineLevel="1" x14ac:dyDescent="0.2">
      <c r="A1582" s="49" t="s">
        <v>943</v>
      </c>
      <c r="B1582" s="96">
        <v>43209</v>
      </c>
      <c r="C1582" s="97">
        <v>43464</v>
      </c>
      <c r="D1582" s="141">
        <v>40</v>
      </c>
      <c r="E1582" s="99"/>
      <c r="F1582" s="100">
        <v>3190.01</v>
      </c>
      <c r="G1582" s="100"/>
      <c r="H1582" s="101">
        <f t="shared" si="101"/>
        <v>3190.01</v>
      </c>
      <c r="I1582" s="102">
        <f t="shared" si="102"/>
        <v>3190.01</v>
      </c>
      <c r="J1582" s="14"/>
      <c r="K1582" s="39"/>
    </row>
    <row r="1583" spans="1:11" outlineLevel="1" x14ac:dyDescent="0.2">
      <c r="A1583" s="49" t="s">
        <v>965</v>
      </c>
      <c r="B1583" s="96">
        <v>43218</v>
      </c>
      <c r="C1583" s="97">
        <v>43464</v>
      </c>
      <c r="D1583" s="141">
        <v>100</v>
      </c>
      <c r="E1583" s="99"/>
      <c r="F1583" s="100">
        <v>34463.910000000003</v>
      </c>
      <c r="G1583" s="100"/>
      <c r="H1583" s="101">
        <f t="shared" si="101"/>
        <v>34463.910000000003</v>
      </c>
      <c r="I1583" s="102">
        <f t="shared" si="102"/>
        <v>34463.910000000003</v>
      </c>
      <c r="J1583" s="14"/>
      <c r="K1583" s="39"/>
    </row>
    <row r="1584" spans="1:11" outlineLevel="1" x14ac:dyDescent="0.2">
      <c r="A1584" s="49" t="s">
        <v>941</v>
      </c>
      <c r="B1584" s="96">
        <v>43202</v>
      </c>
      <c r="C1584" s="97">
        <v>43464</v>
      </c>
      <c r="D1584" s="141">
        <v>20</v>
      </c>
      <c r="E1584" s="99"/>
      <c r="F1584" s="100">
        <v>11612.65</v>
      </c>
      <c r="G1584" s="100"/>
      <c r="H1584" s="101">
        <f t="shared" si="101"/>
        <v>11612.65</v>
      </c>
      <c r="I1584" s="102">
        <f t="shared" si="102"/>
        <v>11612.65</v>
      </c>
      <c r="J1584" s="14"/>
      <c r="K1584" s="39"/>
    </row>
    <row r="1585" spans="1:11" outlineLevel="1" x14ac:dyDescent="0.2">
      <c r="A1585" s="49" t="s">
        <v>947</v>
      </c>
      <c r="B1585" s="96">
        <v>43203</v>
      </c>
      <c r="C1585" s="97">
        <v>43464</v>
      </c>
      <c r="D1585" s="141">
        <v>30</v>
      </c>
      <c r="E1585" s="99"/>
      <c r="F1585" s="182">
        <v>9026.4</v>
      </c>
      <c r="G1585" s="100"/>
      <c r="H1585" s="101">
        <f t="shared" si="101"/>
        <v>9026.4</v>
      </c>
      <c r="I1585" s="102">
        <f t="shared" si="102"/>
        <v>9026.4</v>
      </c>
      <c r="J1585" s="14"/>
      <c r="K1585" s="39"/>
    </row>
    <row r="1586" spans="1:11" outlineLevel="1" x14ac:dyDescent="0.2">
      <c r="A1586" s="49" t="s">
        <v>963</v>
      </c>
      <c r="B1586" s="96">
        <v>43209</v>
      </c>
      <c r="C1586" s="97">
        <v>43464</v>
      </c>
      <c r="D1586" s="141">
        <v>50</v>
      </c>
      <c r="E1586" s="99"/>
      <c r="F1586" s="100">
        <v>3303.63</v>
      </c>
      <c r="G1586" s="100"/>
      <c r="H1586" s="101">
        <f t="shared" si="101"/>
        <v>3303.63</v>
      </c>
      <c r="I1586" s="102">
        <f t="shared" si="102"/>
        <v>3303.63</v>
      </c>
      <c r="J1586" s="14"/>
      <c r="K1586" s="39"/>
    </row>
    <row r="1587" spans="1:11" outlineLevel="1" x14ac:dyDescent="0.2">
      <c r="A1587" s="49" t="s">
        <v>950</v>
      </c>
      <c r="B1587" s="96">
        <v>43209</v>
      </c>
      <c r="C1587" s="97">
        <v>43464</v>
      </c>
      <c r="D1587" s="141">
        <v>50</v>
      </c>
      <c r="E1587" s="99"/>
      <c r="F1587" s="100">
        <v>5138.38</v>
      </c>
      <c r="G1587" s="100"/>
      <c r="H1587" s="101">
        <f t="shared" si="101"/>
        <v>5138.38</v>
      </c>
      <c r="I1587" s="102">
        <f t="shared" si="102"/>
        <v>5138.38</v>
      </c>
      <c r="J1587" s="14"/>
      <c r="K1587" s="39"/>
    </row>
    <row r="1588" spans="1:11" ht="24" outlineLevel="1" x14ac:dyDescent="0.2">
      <c r="A1588" s="49" t="s">
        <v>955</v>
      </c>
      <c r="B1588" s="96">
        <v>43237</v>
      </c>
      <c r="C1588" s="97">
        <v>43495</v>
      </c>
      <c r="D1588" s="141">
        <v>40</v>
      </c>
      <c r="E1588" s="99"/>
      <c r="F1588" s="100">
        <v>6131.67</v>
      </c>
      <c r="G1588" s="100"/>
      <c r="H1588" s="101">
        <f t="shared" si="101"/>
        <v>6131.67</v>
      </c>
      <c r="I1588" s="102">
        <f t="shared" si="102"/>
        <v>6131.67</v>
      </c>
      <c r="J1588" s="14"/>
      <c r="K1588" s="39"/>
    </row>
    <row r="1589" spans="1:11" ht="24" outlineLevel="1" x14ac:dyDescent="0.2">
      <c r="A1589" s="49" t="s">
        <v>956</v>
      </c>
      <c r="B1589" s="96">
        <v>43251</v>
      </c>
      <c r="C1589" s="97">
        <v>43495</v>
      </c>
      <c r="D1589" s="141">
        <v>10</v>
      </c>
      <c r="E1589" s="99"/>
      <c r="F1589" s="100">
        <v>40581.96</v>
      </c>
      <c r="G1589" s="100"/>
      <c r="H1589" s="101">
        <f t="shared" si="101"/>
        <v>40581.96</v>
      </c>
      <c r="I1589" s="102">
        <f t="shared" si="102"/>
        <v>40581.96</v>
      </c>
      <c r="J1589" s="14"/>
      <c r="K1589" s="39"/>
    </row>
    <row r="1590" spans="1:11" outlineLevel="1" x14ac:dyDescent="0.2">
      <c r="A1590" s="49" t="s">
        <v>945</v>
      </c>
      <c r="B1590" s="96">
        <v>43251</v>
      </c>
      <c r="C1590" s="97">
        <v>43464</v>
      </c>
      <c r="D1590" s="141">
        <v>20</v>
      </c>
      <c r="E1590" s="99"/>
      <c r="F1590" s="100">
        <v>10361.81</v>
      </c>
      <c r="G1590" s="100"/>
      <c r="H1590" s="101">
        <f t="shared" si="101"/>
        <v>10361.81</v>
      </c>
      <c r="I1590" s="102">
        <f t="shared" si="102"/>
        <v>10361.81</v>
      </c>
      <c r="J1590" s="14"/>
      <c r="K1590" s="39"/>
    </row>
    <row r="1591" spans="1:11" ht="24" outlineLevel="1" x14ac:dyDescent="0.2">
      <c r="A1591" s="49" t="s">
        <v>948</v>
      </c>
      <c r="B1591" s="96">
        <v>43258</v>
      </c>
      <c r="C1591" s="97">
        <v>43495</v>
      </c>
      <c r="D1591" s="141">
        <v>80</v>
      </c>
      <c r="E1591" s="99"/>
      <c r="F1591" s="100">
        <v>3424.01</v>
      </c>
      <c r="G1591" s="100"/>
      <c r="H1591" s="101">
        <f t="shared" si="101"/>
        <v>3424.01</v>
      </c>
      <c r="I1591" s="102">
        <f t="shared" si="102"/>
        <v>3424.01</v>
      </c>
      <c r="J1591" s="14"/>
      <c r="K1591" s="39"/>
    </row>
    <row r="1592" spans="1:11" outlineLevel="1" x14ac:dyDescent="0.2">
      <c r="A1592" s="49" t="s">
        <v>940</v>
      </c>
      <c r="B1592" s="96">
        <v>43264</v>
      </c>
      <c r="C1592" s="97">
        <v>43130</v>
      </c>
      <c r="D1592" s="141">
        <v>80</v>
      </c>
      <c r="E1592" s="99"/>
      <c r="F1592" s="100">
        <v>3285.51</v>
      </c>
      <c r="G1592" s="100"/>
      <c r="H1592" s="101">
        <f t="shared" si="101"/>
        <v>3285.51</v>
      </c>
      <c r="I1592" s="102">
        <f t="shared" si="102"/>
        <v>3285.51</v>
      </c>
      <c r="J1592" s="14"/>
      <c r="K1592" s="39"/>
    </row>
    <row r="1593" spans="1:11" outlineLevel="1" x14ac:dyDescent="0.2">
      <c r="A1593" s="49" t="s">
        <v>954</v>
      </c>
      <c r="B1593" s="96">
        <v>43269</v>
      </c>
      <c r="C1593" s="97">
        <v>43495</v>
      </c>
      <c r="D1593" s="141">
        <v>50</v>
      </c>
      <c r="E1593" s="99"/>
      <c r="F1593" s="100">
        <v>4039.85</v>
      </c>
      <c r="G1593" s="100"/>
      <c r="H1593" s="101">
        <f t="shared" si="101"/>
        <v>4039.85</v>
      </c>
      <c r="I1593" s="102">
        <f t="shared" si="102"/>
        <v>4039.85</v>
      </c>
      <c r="J1593" s="14"/>
      <c r="K1593" s="39"/>
    </row>
    <row r="1594" spans="1:11" outlineLevel="1" x14ac:dyDescent="0.2">
      <c r="A1594" s="49" t="s">
        <v>957</v>
      </c>
      <c r="B1594" s="96">
        <v>43269</v>
      </c>
      <c r="C1594" s="97">
        <v>43495</v>
      </c>
      <c r="D1594" s="141">
        <v>50</v>
      </c>
      <c r="E1594" s="99"/>
      <c r="F1594" s="100">
        <v>3770.97</v>
      </c>
      <c r="G1594" s="100"/>
      <c r="H1594" s="101">
        <f t="shared" si="101"/>
        <v>3770.97</v>
      </c>
      <c r="I1594" s="102">
        <f t="shared" si="102"/>
        <v>3770.97</v>
      </c>
      <c r="J1594" s="14"/>
      <c r="K1594" s="39"/>
    </row>
    <row r="1595" spans="1:11" ht="24" outlineLevel="1" x14ac:dyDescent="0.2">
      <c r="A1595" s="49" t="s">
        <v>962</v>
      </c>
      <c r="B1595" s="96">
        <v>43271</v>
      </c>
      <c r="C1595" s="97">
        <v>43495</v>
      </c>
      <c r="D1595" s="141">
        <v>50</v>
      </c>
      <c r="E1595" s="99"/>
      <c r="F1595" s="182">
        <v>5390.7</v>
      </c>
      <c r="G1595" s="100"/>
      <c r="H1595" s="101">
        <f t="shared" si="101"/>
        <v>5390.7</v>
      </c>
      <c r="I1595" s="102">
        <f t="shared" si="102"/>
        <v>5390.7</v>
      </c>
      <c r="J1595" s="14"/>
      <c r="K1595" s="39"/>
    </row>
    <row r="1596" spans="1:11" outlineLevel="1" x14ac:dyDescent="0.2">
      <c r="A1596" s="49" t="s">
        <v>960</v>
      </c>
      <c r="B1596" s="96">
        <v>43272</v>
      </c>
      <c r="C1596" s="97">
        <v>43495</v>
      </c>
      <c r="D1596" s="141">
        <v>80</v>
      </c>
      <c r="E1596" s="99"/>
      <c r="F1596" s="100">
        <v>3005.83</v>
      </c>
      <c r="G1596" s="100"/>
      <c r="H1596" s="101">
        <f t="shared" si="101"/>
        <v>3005.83</v>
      </c>
      <c r="I1596" s="102">
        <f t="shared" si="102"/>
        <v>3005.83</v>
      </c>
      <c r="J1596" s="14"/>
      <c r="K1596" s="39"/>
    </row>
    <row r="1597" spans="1:11" ht="24" outlineLevel="1" x14ac:dyDescent="0.2">
      <c r="A1597" s="49" t="s">
        <v>949</v>
      </c>
      <c r="B1597" s="96">
        <v>43272</v>
      </c>
      <c r="C1597" s="97">
        <v>43495</v>
      </c>
      <c r="D1597" s="141">
        <v>90</v>
      </c>
      <c r="E1597" s="99"/>
      <c r="F1597" s="100">
        <v>5280.94</v>
      </c>
      <c r="G1597" s="100"/>
      <c r="H1597" s="101">
        <f t="shared" si="101"/>
        <v>5280.94</v>
      </c>
      <c r="I1597" s="102">
        <f t="shared" si="102"/>
        <v>5280.94</v>
      </c>
      <c r="J1597" s="14"/>
      <c r="K1597" s="39"/>
    </row>
    <row r="1598" spans="1:11" ht="24" outlineLevel="1" x14ac:dyDescent="0.2">
      <c r="A1598" s="49" t="s">
        <v>966</v>
      </c>
      <c r="B1598" s="96">
        <v>43276</v>
      </c>
      <c r="C1598" s="97">
        <v>43464</v>
      </c>
      <c r="D1598" s="141">
        <v>40</v>
      </c>
      <c r="E1598" s="99"/>
      <c r="F1598" s="100">
        <v>4923.79</v>
      </c>
      <c r="G1598" s="100"/>
      <c r="H1598" s="101">
        <f t="shared" si="101"/>
        <v>4923.79</v>
      </c>
      <c r="I1598" s="102">
        <f t="shared" si="102"/>
        <v>4923.79</v>
      </c>
      <c r="J1598" s="14"/>
      <c r="K1598" s="39"/>
    </row>
    <row r="1599" spans="1:11" outlineLevel="1" x14ac:dyDescent="0.2">
      <c r="A1599" s="49" t="s">
        <v>944</v>
      </c>
      <c r="B1599" s="96">
        <v>43276</v>
      </c>
      <c r="C1599" s="97">
        <v>43495</v>
      </c>
      <c r="D1599" s="141">
        <v>30</v>
      </c>
      <c r="E1599" s="99"/>
      <c r="F1599" s="100">
        <v>7404.25</v>
      </c>
      <c r="G1599" s="100"/>
      <c r="H1599" s="101">
        <f t="shared" si="101"/>
        <v>7404.25</v>
      </c>
      <c r="I1599" s="102">
        <f t="shared" si="102"/>
        <v>7404.25</v>
      </c>
      <c r="J1599" s="14"/>
      <c r="K1599" s="39"/>
    </row>
    <row r="1600" spans="1:11" outlineLevel="1" x14ac:dyDescent="0.2">
      <c r="A1600" s="49" t="s">
        <v>964</v>
      </c>
      <c r="B1600" s="96">
        <v>43276</v>
      </c>
      <c r="C1600" s="97">
        <v>43495</v>
      </c>
      <c r="D1600" s="141">
        <v>25</v>
      </c>
      <c r="E1600" s="99"/>
      <c r="F1600" s="100">
        <v>6772.18</v>
      </c>
      <c r="G1600" s="100"/>
      <c r="H1600" s="101">
        <f t="shared" si="101"/>
        <v>6772.18</v>
      </c>
      <c r="I1600" s="102">
        <f t="shared" si="102"/>
        <v>6772.18</v>
      </c>
      <c r="J1600" s="14"/>
      <c r="K1600" s="39"/>
    </row>
    <row r="1601" spans="1:11" outlineLevel="1" x14ac:dyDescent="0.2">
      <c r="A1601" s="49" t="s">
        <v>953</v>
      </c>
      <c r="B1601" s="96">
        <v>43276</v>
      </c>
      <c r="C1601" s="97">
        <v>43495</v>
      </c>
      <c r="D1601" s="141">
        <v>25</v>
      </c>
      <c r="E1601" s="99"/>
      <c r="F1601" s="100">
        <v>6102.67</v>
      </c>
      <c r="G1601" s="100"/>
      <c r="H1601" s="101">
        <f t="shared" si="101"/>
        <v>6102.67</v>
      </c>
      <c r="I1601" s="102">
        <f t="shared" si="102"/>
        <v>6102.67</v>
      </c>
      <c r="J1601" s="14"/>
      <c r="K1601" s="39"/>
    </row>
    <row r="1602" spans="1:11" ht="24" outlineLevel="1" x14ac:dyDescent="0.2">
      <c r="A1602" s="49" t="s">
        <v>938</v>
      </c>
      <c r="B1602" s="96">
        <v>43265</v>
      </c>
      <c r="C1602" s="97">
        <v>43464</v>
      </c>
      <c r="D1602" s="141">
        <v>45</v>
      </c>
      <c r="E1602" s="99"/>
      <c r="F1602" s="100">
        <v>3545.56</v>
      </c>
      <c r="G1602" s="100"/>
      <c r="H1602" s="101">
        <f t="shared" si="101"/>
        <v>3545.56</v>
      </c>
      <c r="I1602" s="102">
        <f t="shared" si="102"/>
        <v>3545.56</v>
      </c>
      <c r="J1602" s="14"/>
      <c r="K1602" s="39"/>
    </row>
    <row r="1603" spans="1:11" ht="24" outlineLevel="1" x14ac:dyDescent="0.2">
      <c r="A1603" s="49" t="s">
        <v>937</v>
      </c>
      <c r="B1603" s="96">
        <v>43276</v>
      </c>
      <c r="C1603" s="97">
        <v>43464</v>
      </c>
      <c r="D1603" s="141">
        <v>30</v>
      </c>
      <c r="E1603" s="99"/>
      <c r="F1603" s="100">
        <v>16235.85</v>
      </c>
      <c r="G1603" s="100"/>
      <c r="H1603" s="101">
        <f t="shared" si="101"/>
        <v>16235.85</v>
      </c>
      <c r="I1603" s="102">
        <f t="shared" si="102"/>
        <v>16235.85</v>
      </c>
      <c r="J1603" s="14"/>
      <c r="K1603" s="39"/>
    </row>
    <row r="1604" spans="1:11" outlineLevel="1" x14ac:dyDescent="0.2">
      <c r="A1604" s="49" t="s">
        <v>1379</v>
      </c>
      <c r="B1604" s="96">
        <v>43283</v>
      </c>
      <c r="C1604" s="97">
        <v>43464</v>
      </c>
      <c r="D1604" s="141">
        <v>70</v>
      </c>
      <c r="E1604" s="99"/>
      <c r="F1604" s="100">
        <v>6442.05</v>
      </c>
      <c r="G1604" s="100"/>
      <c r="H1604" s="101">
        <f t="shared" si="101"/>
        <v>6442.05</v>
      </c>
      <c r="I1604" s="102">
        <f t="shared" si="102"/>
        <v>6442.05</v>
      </c>
      <c r="J1604" s="14"/>
      <c r="K1604" s="39"/>
    </row>
    <row r="1605" spans="1:11" ht="24" outlineLevel="1" x14ac:dyDescent="0.2">
      <c r="A1605" s="49" t="s">
        <v>1380</v>
      </c>
      <c r="B1605" s="96">
        <v>43291</v>
      </c>
      <c r="C1605" s="97">
        <v>43464</v>
      </c>
      <c r="D1605" s="141">
        <v>50</v>
      </c>
      <c r="E1605" s="99"/>
      <c r="F1605" s="100">
        <v>3618.59</v>
      </c>
      <c r="G1605" s="100"/>
      <c r="H1605" s="101">
        <f t="shared" si="101"/>
        <v>3618.59</v>
      </c>
      <c r="I1605" s="102">
        <f t="shared" si="102"/>
        <v>3618.59</v>
      </c>
      <c r="J1605" s="14"/>
      <c r="K1605" s="39"/>
    </row>
    <row r="1606" spans="1:11" outlineLevel="1" x14ac:dyDescent="0.2">
      <c r="A1606" s="49" t="s">
        <v>1381</v>
      </c>
      <c r="B1606" s="96">
        <v>43299</v>
      </c>
      <c r="C1606" s="97">
        <v>43466</v>
      </c>
      <c r="D1606" s="141">
        <v>50</v>
      </c>
      <c r="E1606" s="99"/>
      <c r="F1606" s="182">
        <v>4452.1000000000004</v>
      </c>
      <c r="G1606" s="100"/>
      <c r="H1606" s="101">
        <f t="shared" ref="H1606:H1637" si="103">F1606+E1606</f>
        <v>4452.1000000000004</v>
      </c>
      <c r="I1606" s="102">
        <f t="shared" si="102"/>
        <v>4452.1000000000004</v>
      </c>
      <c r="J1606" s="14"/>
      <c r="K1606" s="39"/>
    </row>
    <row r="1607" spans="1:11" ht="24" outlineLevel="1" x14ac:dyDescent="0.2">
      <c r="A1607" s="49" t="s">
        <v>1382</v>
      </c>
      <c r="B1607" s="96">
        <v>43300</v>
      </c>
      <c r="C1607" s="97">
        <v>43524</v>
      </c>
      <c r="D1607" s="141">
        <v>60</v>
      </c>
      <c r="E1607" s="99"/>
      <c r="F1607" s="100">
        <v>27507.85</v>
      </c>
      <c r="G1607" s="100"/>
      <c r="H1607" s="101">
        <f t="shared" si="103"/>
        <v>27507.85</v>
      </c>
      <c r="I1607" s="102">
        <f t="shared" si="102"/>
        <v>27507.85</v>
      </c>
      <c r="J1607" s="14"/>
      <c r="K1607" s="39"/>
    </row>
    <row r="1608" spans="1:11" outlineLevel="1" x14ac:dyDescent="0.2">
      <c r="A1608" s="49" t="s">
        <v>1383</v>
      </c>
      <c r="B1608" s="96">
        <v>43311</v>
      </c>
      <c r="C1608" s="97">
        <v>43524</v>
      </c>
      <c r="D1608" s="141">
        <v>50</v>
      </c>
      <c r="E1608" s="99"/>
      <c r="F1608" s="100">
        <v>27442.68</v>
      </c>
      <c r="G1608" s="100"/>
      <c r="H1608" s="101">
        <f t="shared" si="103"/>
        <v>27442.68</v>
      </c>
      <c r="I1608" s="102">
        <f t="shared" si="102"/>
        <v>27442.68</v>
      </c>
      <c r="J1608" s="14"/>
      <c r="K1608" s="39"/>
    </row>
    <row r="1609" spans="1:11" ht="24" outlineLevel="1" x14ac:dyDescent="0.2">
      <c r="A1609" s="49" t="s">
        <v>1384</v>
      </c>
      <c r="B1609" s="96">
        <v>43313</v>
      </c>
      <c r="C1609" s="97">
        <v>43524</v>
      </c>
      <c r="D1609" s="141">
        <v>70</v>
      </c>
      <c r="E1609" s="99"/>
      <c r="F1609" s="100">
        <v>13268.98</v>
      </c>
      <c r="G1609" s="100"/>
      <c r="H1609" s="101">
        <f t="shared" si="103"/>
        <v>13268.98</v>
      </c>
      <c r="I1609" s="102">
        <f t="shared" si="102"/>
        <v>13268.98</v>
      </c>
      <c r="J1609" s="14"/>
      <c r="K1609" s="39"/>
    </row>
    <row r="1610" spans="1:11" outlineLevel="1" x14ac:dyDescent="0.2">
      <c r="A1610" s="49" t="s">
        <v>1385</v>
      </c>
      <c r="B1610" s="96">
        <v>43336</v>
      </c>
      <c r="C1610" s="97">
        <v>43495</v>
      </c>
      <c r="D1610" s="141">
        <v>90</v>
      </c>
      <c r="E1610" s="99"/>
      <c r="F1610" s="100">
        <v>10031.049999999999</v>
      </c>
      <c r="G1610" s="100"/>
      <c r="H1610" s="101">
        <f t="shared" si="103"/>
        <v>10031.049999999999</v>
      </c>
      <c r="I1610" s="102">
        <f t="shared" si="102"/>
        <v>10031.049999999999</v>
      </c>
      <c r="J1610" s="14"/>
      <c r="K1610" s="39"/>
    </row>
    <row r="1611" spans="1:11" ht="24" outlineLevel="1" x14ac:dyDescent="0.2">
      <c r="A1611" s="49" t="s">
        <v>1386</v>
      </c>
      <c r="B1611" s="96">
        <v>43314</v>
      </c>
      <c r="C1611" s="97">
        <v>43464</v>
      </c>
      <c r="D1611" s="141">
        <v>50</v>
      </c>
      <c r="E1611" s="99"/>
      <c r="F1611" s="100">
        <v>32655.87</v>
      </c>
      <c r="G1611" s="100"/>
      <c r="H1611" s="101">
        <f t="shared" si="103"/>
        <v>32655.87</v>
      </c>
      <c r="I1611" s="102">
        <f t="shared" si="102"/>
        <v>32655.87</v>
      </c>
      <c r="J1611" s="14"/>
      <c r="K1611" s="39"/>
    </row>
    <row r="1612" spans="1:11" outlineLevel="1" x14ac:dyDescent="0.2">
      <c r="A1612" s="49" t="s">
        <v>1387</v>
      </c>
      <c r="B1612" s="96">
        <v>43315</v>
      </c>
      <c r="C1612" s="97">
        <v>43524</v>
      </c>
      <c r="D1612" s="141">
        <v>60</v>
      </c>
      <c r="E1612" s="99"/>
      <c r="F1612" s="100">
        <v>9845.69</v>
      </c>
      <c r="G1612" s="100"/>
      <c r="H1612" s="101">
        <f t="shared" si="103"/>
        <v>9845.69</v>
      </c>
      <c r="I1612" s="102">
        <f t="shared" si="102"/>
        <v>9845.69</v>
      </c>
      <c r="J1612" s="14"/>
      <c r="K1612" s="39"/>
    </row>
    <row r="1613" spans="1:11" outlineLevel="1" x14ac:dyDescent="0.2">
      <c r="A1613" s="49" t="s">
        <v>1388</v>
      </c>
      <c r="B1613" s="96">
        <v>43315</v>
      </c>
      <c r="C1613" s="97">
        <v>43524</v>
      </c>
      <c r="D1613" s="141">
        <v>70</v>
      </c>
      <c r="E1613" s="99"/>
      <c r="F1613" s="100">
        <v>12273.98</v>
      </c>
      <c r="G1613" s="100"/>
      <c r="H1613" s="101">
        <f t="shared" si="103"/>
        <v>12273.98</v>
      </c>
      <c r="I1613" s="102">
        <f t="shared" si="102"/>
        <v>12273.98</v>
      </c>
      <c r="J1613" s="14"/>
      <c r="K1613" s="39"/>
    </row>
    <row r="1614" spans="1:11" outlineLevel="1" x14ac:dyDescent="0.2">
      <c r="A1614" s="49" t="s">
        <v>1389</v>
      </c>
      <c r="B1614" s="96">
        <v>43330</v>
      </c>
      <c r="C1614" s="97">
        <v>43495</v>
      </c>
      <c r="D1614" s="141">
        <v>40</v>
      </c>
      <c r="E1614" s="99"/>
      <c r="F1614" s="100">
        <v>4310.6400000000003</v>
      </c>
      <c r="G1614" s="100"/>
      <c r="H1614" s="101">
        <f t="shared" si="103"/>
        <v>4310.6400000000003</v>
      </c>
      <c r="I1614" s="102">
        <f t="shared" si="102"/>
        <v>4310.6400000000003</v>
      </c>
      <c r="J1614" s="14"/>
      <c r="K1614" s="39"/>
    </row>
    <row r="1615" spans="1:11" outlineLevel="1" x14ac:dyDescent="0.2">
      <c r="A1615" s="49" t="s">
        <v>1390</v>
      </c>
      <c r="B1615" s="96">
        <v>43332</v>
      </c>
      <c r="C1615" s="97">
        <v>43495</v>
      </c>
      <c r="D1615" s="141">
        <v>50</v>
      </c>
      <c r="E1615" s="99"/>
      <c r="F1615" s="100">
        <v>5549.99</v>
      </c>
      <c r="G1615" s="100"/>
      <c r="H1615" s="101">
        <f t="shared" si="103"/>
        <v>5549.99</v>
      </c>
      <c r="I1615" s="102">
        <f t="shared" si="102"/>
        <v>5549.99</v>
      </c>
      <c r="J1615" s="14"/>
      <c r="K1615" s="39"/>
    </row>
    <row r="1616" spans="1:11" ht="24" outlineLevel="1" x14ac:dyDescent="0.2">
      <c r="A1616" s="49" t="s">
        <v>1391</v>
      </c>
      <c r="B1616" s="96">
        <v>43332</v>
      </c>
      <c r="C1616" s="97">
        <v>43524</v>
      </c>
      <c r="D1616" s="141">
        <v>60</v>
      </c>
      <c r="E1616" s="99"/>
      <c r="F1616" s="100">
        <v>6228.02</v>
      </c>
      <c r="G1616" s="100"/>
      <c r="H1616" s="101">
        <f t="shared" si="103"/>
        <v>6228.02</v>
      </c>
      <c r="I1616" s="102">
        <f t="shared" si="102"/>
        <v>6228.02</v>
      </c>
      <c r="J1616" s="14"/>
      <c r="K1616" s="39"/>
    </row>
    <row r="1617" spans="1:11" outlineLevel="1" x14ac:dyDescent="0.2">
      <c r="A1617" s="49" t="s">
        <v>1392</v>
      </c>
      <c r="B1617" s="96">
        <v>43335</v>
      </c>
      <c r="C1617" s="97">
        <v>43464</v>
      </c>
      <c r="D1617" s="141">
        <v>50</v>
      </c>
      <c r="E1617" s="99"/>
      <c r="F1617" s="100">
        <v>2284.31</v>
      </c>
      <c r="G1617" s="100"/>
      <c r="H1617" s="101">
        <f t="shared" si="103"/>
        <v>2284.31</v>
      </c>
      <c r="I1617" s="102">
        <f t="shared" si="102"/>
        <v>2284.31</v>
      </c>
      <c r="J1617" s="14"/>
      <c r="K1617" s="39"/>
    </row>
    <row r="1618" spans="1:11" outlineLevel="1" x14ac:dyDescent="0.2">
      <c r="A1618" s="49" t="s">
        <v>1393</v>
      </c>
      <c r="B1618" s="96">
        <v>43335</v>
      </c>
      <c r="C1618" s="97">
        <v>43464</v>
      </c>
      <c r="D1618" s="141">
        <v>50</v>
      </c>
      <c r="E1618" s="99"/>
      <c r="F1618" s="100">
        <v>14366.08</v>
      </c>
      <c r="G1618" s="100"/>
      <c r="H1618" s="101">
        <f t="shared" si="103"/>
        <v>14366.08</v>
      </c>
      <c r="I1618" s="102">
        <f t="shared" si="102"/>
        <v>14366.08</v>
      </c>
      <c r="J1618" s="14"/>
      <c r="K1618" s="39"/>
    </row>
    <row r="1619" spans="1:11" ht="24" outlineLevel="1" x14ac:dyDescent="0.2">
      <c r="A1619" s="49" t="s">
        <v>1394</v>
      </c>
      <c r="B1619" s="96">
        <v>43343</v>
      </c>
      <c r="C1619" s="97">
        <v>43495</v>
      </c>
      <c r="D1619" s="141">
        <v>65</v>
      </c>
      <c r="E1619" s="99"/>
      <c r="F1619" s="100">
        <v>4781.17</v>
      </c>
      <c r="G1619" s="100"/>
      <c r="H1619" s="101">
        <f t="shared" si="103"/>
        <v>4781.17</v>
      </c>
      <c r="I1619" s="102">
        <f t="shared" si="102"/>
        <v>4781.17</v>
      </c>
      <c r="J1619" s="14"/>
      <c r="K1619" s="39"/>
    </row>
    <row r="1620" spans="1:11" outlineLevel="1" x14ac:dyDescent="0.2">
      <c r="A1620" s="49" t="s">
        <v>1395</v>
      </c>
      <c r="B1620" s="96">
        <v>43343</v>
      </c>
      <c r="C1620" s="97">
        <v>43495</v>
      </c>
      <c r="D1620" s="141">
        <v>45</v>
      </c>
      <c r="E1620" s="99"/>
      <c r="F1620" s="100">
        <v>2326.48</v>
      </c>
      <c r="G1620" s="100"/>
      <c r="H1620" s="101">
        <f t="shared" si="103"/>
        <v>2326.48</v>
      </c>
      <c r="I1620" s="102">
        <f t="shared" si="102"/>
        <v>2326.48</v>
      </c>
      <c r="J1620" s="14"/>
      <c r="K1620" s="39"/>
    </row>
    <row r="1621" spans="1:11" outlineLevel="1" x14ac:dyDescent="0.2">
      <c r="A1621" s="49" t="s">
        <v>1396</v>
      </c>
      <c r="B1621" s="96">
        <v>43346</v>
      </c>
      <c r="C1621" s="97">
        <v>43524</v>
      </c>
      <c r="D1621" s="141">
        <v>50</v>
      </c>
      <c r="E1621" s="99"/>
      <c r="F1621" s="100">
        <v>20094.509999999998</v>
      </c>
      <c r="G1621" s="100"/>
      <c r="H1621" s="101">
        <f t="shared" si="103"/>
        <v>20094.509999999998</v>
      </c>
      <c r="I1621" s="102">
        <f t="shared" si="102"/>
        <v>20094.509999999998</v>
      </c>
      <c r="J1621" s="14"/>
      <c r="K1621" s="39"/>
    </row>
    <row r="1622" spans="1:11" outlineLevel="1" x14ac:dyDescent="0.2">
      <c r="A1622" s="49" t="s">
        <v>1397</v>
      </c>
      <c r="B1622" s="96">
        <v>43346</v>
      </c>
      <c r="C1622" s="97">
        <v>43464</v>
      </c>
      <c r="D1622" s="141">
        <v>70</v>
      </c>
      <c r="E1622" s="99"/>
      <c r="F1622" s="100">
        <v>13941.88</v>
      </c>
      <c r="G1622" s="100"/>
      <c r="H1622" s="101">
        <f t="shared" si="103"/>
        <v>13941.88</v>
      </c>
      <c r="I1622" s="102">
        <f t="shared" si="102"/>
        <v>13941.88</v>
      </c>
      <c r="J1622" s="14"/>
      <c r="K1622" s="39"/>
    </row>
    <row r="1623" spans="1:11" outlineLevel="1" x14ac:dyDescent="0.2">
      <c r="A1623" s="49" t="s">
        <v>1398</v>
      </c>
      <c r="B1623" s="96">
        <v>43349</v>
      </c>
      <c r="C1623" s="97">
        <v>43464</v>
      </c>
      <c r="D1623" s="141">
        <v>50</v>
      </c>
      <c r="E1623" s="99"/>
      <c r="F1623" s="100">
        <v>9125.34</v>
      </c>
      <c r="G1623" s="100"/>
      <c r="H1623" s="101">
        <f t="shared" si="103"/>
        <v>9125.34</v>
      </c>
      <c r="I1623" s="102">
        <f t="shared" si="102"/>
        <v>9125.34</v>
      </c>
      <c r="J1623" s="14"/>
      <c r="K1623" s="39"/>
    </row>
    <row r="1624" spans="1:11" ht="24" outlineLevel="1" x14ac:dyDescent="0.2">
      <c r="A1624" s="49" t="s">
        <v>1399</v>
      </c>
      <c r="B1624" s="96">
        <v>43349</v>
      </c>
      <c r="C1624" s="97">
        <v>43464</v>
      </c>
      <c r="D1624" s="141">
        <v>50</v>
      </c>
      <c r="E1624" s="99"/>
      <c r="F1624" s="100">
        <v>5987.21</v>
      </c>
      <c r="G1624" s="100"/>
      <c r="H1624" s="101">
        <f t="shared" si="103"/>
        <v>5987.21</v>
      </c>
      <c r="I1624" s="102">
        <f t="shared" si="102"/>
        <v>5987.21</v>
      </c>
      <c r="J1624" s="14"/>
      <c r="K1624" s="39"/>
    </row>
    <row r="1625" spans="1:11" outlineLevel="1" x14ac:dyDescent="0.2">
      <c r="A1625" s="49" t="s">
        <v>1400</v>
      </c>
      <c r="B1625" s="96">
        <v>43350</v>
      </c>
      <c r="C1625" s="97">
        <v>43495</v>
      </c>
      <c r="D1625" s="141">
        <v>40</v>
      </c>
      <c r="E1625" s="99"/>
      <c r="F1625" s="100">
        <v>3448.14</v>
      </c>
      <c r="G1625" s="100"/>
      <c r="H1625" s="101">
        <f t="shared" si="103"/>
        <v>3448.14</v>
      </c>
      <c r="I1625" s="102">
        <f t="shared" si="102"/>
        <v>3448.14</v>
      </c>
      <c r="J1625" s="14"/>
      <c r="K1625" s="39"/>
    </row>
    <row r="1626" spans="1:11" ht="24" outlineLevel="1" x14ac:dyDescent="0.2">
      <c r="A1626" s="49" t="s">
        <v>1401</v>
      </c>
      <c r="B1626" s="96">
        <v>43341</v>
      </c>
      <c r="C1626" s="97">
        <v>43524</v>
      </c>
      <c r="D1626" s="141">
        <v>30</v>
      </c>
      <c r="E1626" s="99"/>
      <c r="F1626" s="182">
        <v>10545.8</v>
      </c>
      <c r="G1626" s="100"/>
      <c r="H1626" s="101">
        <f t="shared" si="103"/>
        <v>10545.8</v>
      </c>
      <c r="I1626" s="102">
        <f t="shared" si="102"/>
        <v>10545.8</v>
      </c>
      <c r="J1626" s="14"/>
      <c r="K1626" s="39"/>
    </row>
    <row r="1627" spans="1:11" ht="24" outlineLevel="1" x14ac:dyDescent="0.2">
      <c r="A1627" s="49" t="s">
        <v>1402</v>
      </c>
      <c r="B1627" s="96">
        <v>43341</v>
      </c>
      <c r="C1627" s="97">
        <v>43524</v>
      </c>
      <c r="D1627" s="141">
        <v>30</v>
      </c>
      <c r="E1627" s="99"/>
      <c r="F1627" s="100">
        <v>37566.15</v>
      </c>
      <c r="G1627" s="100"/>
      <c r="H1627" s="101">
        <f t="shared" si="103"/>
        <v>37566.15</v>
      </c>
      <c r="I1627" s="102">
        <f t="shared" si="102"/>
        <v>37566.15</v>
      </c>
      <c r="J1627" s="14"/>
      <c r="K1627" s="39"/>
    </row>
    <row r="1628" spans="1:11" ht="24" outlineLevel="1" x14ac:dyDescent="0.2">
      <c r="A1628" s="49" t="s">
        <v>1403</v>
      </c>
      <c r="B1628" s="96">
        <v>43340</v>
      </c>
      <c r="C1628" s="97">
        <v>43524</v>
      </c>
      <c r="D1628" s="141">
        <v>40</v>
      </c>
      <c r="E1628" s="99"/>
      <c r="F1628" s="182">
        <v>75595.5</v>
      </c>
      <c r="G1628" s="100"/>
      <c r="H1628" s="101">
        <f t="shared" si="103"/>
        <v>75595.5</v>
      </c>
      <c r="I1628" s="102">
        <f t="shared" si="102"/>
        <v>75595.5</v>
      </c>
      <c r="J1628" s="14"/>
      <c r="K1628" s="39"/>
    </row>
    <row r="1629" spans="1:11" outlineLevel="1" x14ac:dyDescent="0.2">
      <c r="A1629" s="49" t="s">
        <v>1404</v>
      </c>
      <c r="B1629" s="96">
        <v>43356</v>
      </c>
      <c r="C1629" s="97">
        <v>43464</v>
      </c>
      <c r="D1629" s="141">
        <v>100</v>
      </c>
      <c r="E1629" s="99"/>
      <c r="F1629" s="100">
        <v>4530.95</v>
      </c>
      <c r="G1629" s="100"/>
      <c r="H1629" s="101">
        <f t="shared" si="103"/>
        <v>4530.95</v>
      </c>
      <c r="I1629" s="102">
        <f t="shared" si="102"/>
        <v>4530.95</v>
      </c>
      <c r="J1629" s="14"/>
      <c r="K1629" s="39"/>
    </row>
    <row r="1630" spans="1:11" outlineLevel="1" x14ac:dyDescent="0.2">
      <c r="A1630" s="49" t="s">
        <v>1405</v>
      </c>
      <c r="B1630" s="96">
        <v>43367</v>
      </c>
      <c r="C1630" s="97">
        <v>43524</v>
      </c>
      <c r="D1630" s="141">
        <v>50</v>
      </c>
      <c r="E1630" s="99"/>
      <c r="F1630" s="100">
        <v>4174.83</v>
      </c>
      <c r="G1630" s="100"/>
      <c r="H1630" s="101">
        <f t="shared" si="103"/>
        <v>4174.83</v>
      </c>
      <c r="I1630" s="102">
        <f t="shared" si="102"/>
        <v>4174.83</v>
      </c>
      <c r="J1630" s="14"/>
      <c r="K1630" s="39"/>
    </row>
    <row r="1631" spans="1:11" outlineLevel="1" x14ac:dyDescent="0.2">
      <c r="A1631" s="49" t="s">
        <v>1406</v>
      </c>
      <c r="B1631" s="96">
        <v>43368</v>
      </c>
      <c r="C1631" s="97">
        <v>43524</v>
      </c>
      <c r="D1631" s="141">
        <v>60</v>
      </c>
      <c r="E1631" s="99"/>
      <c r="F1631" s="100">
        <v>3997.84</v>
      </c>
      <c r="G1631" s="100"/>
      <c r="H1631" s="101">
        <f t="shared" si="103"/>
        <v>3997.84</v>
      </c>
      <c r="I1631" s="102">
        <f t="shared" si="102"/>
        <v>3997.84</v>
      </c>
      <c r="J1631" s="14"/>
      <c r="K1631" s="39"/>
    </row>
    <row r="1632" spans="1:11" ht="24" outlineLevel="1" x14ac:dyDescent="0.2">
      <c r="A1632" s="49" t="s">
        <v>1407</v>
      </c>
      <c r="B1632" s="96">
        <v>43368</v>
      </c>
      <c r="C1632" s="97">
        <v>43524</v>
      </c>
      <c r="D1632" s="141">
        <v>40</v>
      </c>
      <c r="E1632" s="99"/>
      <c r="F1632" s="100">
        <v>5062.17</v>
      </c>
      <c r="G1632" s="100"/>
      <c r="H1632" s="101">
        <f t="shared" si="103"/>
        <v>5062.17</v>
      </c>
      <c r="I1632" s="102">
        <f t="shared" si="102"/>
        <v>5062.17</v>
      </c>
      <c r="J1632" s="14"/>
      <c r="K1632" s="39"/>
    </row>
    <row r="1633" spans="1:11" outlineLevel="1" x14ac:dyDescent="0.2">
      <c r="A1633" s="49" t="s">
        <v>1408</v>
      </c>
      <c r="B1633" s="96">
        <v>43371</v>
      </c>
      <c r="C1633" s="97">
        <v>43524</v>
      </c>
      <c r="D1633" s="141">
        <v>30</v>
      </c>
      <c r="E1633" s="99"/>
      <c r="F1633" s="100">
        <v>3407.63</v>
      </c>
      <c r="G1633" s="100"/>
      <c r="H1633" s="101">
        <f t="shared" si="103"/>
        <v>3407.63</v>
      </c>
      <c r="I1633" s="102">
        <f t="shared" si="102"/>
        <v>3407.63</v>
      </c>
      <c r="J1633" s="14"/>
      <c r="K1633" s="39"/>
    </row>
    <row r="1634" spans="1:11" outlineLevel="1" x14ac:dyDescent="0.2">
      <c r="A1634" s="49" t="s">
        <v>1409</v>
      </c>
      <c r="B1634" s="96">
        <v>43371</v>
      </c>
      <c r="C1634" s="97">
        <v>43524</v>
      </c>
      <c r="D1634" s="141">
        <v>30</v>
      </c>
      <c r="E1634" s="99"/>
      <c r="F1634" s="100">
        <v>6900.65</v>
      </c>
      <c r="G1634" s="100"/>
      <c r="H1634" s="101">
        <f t="shared" si="103"/>
        <v>6900.65</v>
      </c>
      <c r="I1634" s="102">
        <f t="shared" si="102"/>
        <v>6900.65</v>
      </c>
      <c r="J1634" s="14"/>
      <c r="K1634" s="39"/>
    </row>
    <row r="1635" spans="1:11" outlineLevel="1" x14ac:dyDescent="0.2">
      <c r="A1635" s="49" t="s">
        <v>1410</v>
      </c>
      <c r="B1635" s="96">
        <v>43371</v>
      </c>
      <c r="C1635" s="97">
        <v>43524</v>
      </c>
      <c r="D1635" s="141">
        <v>40</v>
      </c>
      <c r="E1635" s="99"/>
      <c r="F1635" s="100">
        <v>8301.64</v>
      </c>
      <c r="G1635" s="100"/>
      <c r="H1635" s="101">
        <f t="shared" si="103"/>
        <v>8301.64</v>
      </c>
      <c r="I1635" s="102">
        <f t="shared" si="102"/>
        <v>8301.64</v>
      </c>
      <c r="J1635" s="14"/>
      <c r="K1635" s="39"/>
    </row>
    <row r="1636" spans="1:11" outlineLevel="1" x14ac:dyDescent="0.2">
      <c r="A1636" s="49" t="s">
        <v>1411</v>
      </c>
      <c r="B1636" s="96">
        <v>43371</v>
      </c>
      <c r="C1636" s="97">
        <v>43524</v>
      </c>
      <c r="D1636" s="141">
        <v>50</v>
      </c>
      <c r="E1636" s="99"/>
      <c r="F1636" s="100">
        <v>2434.7199999999998</v>
      </c>
      <c r="G1636" s="100"/>
      <c r="H1636" s="101">
        <f t="shared" si="103"/>
        <v>2434.7199999999998</v>
      </c>
      <c r="I1636" s="102">
        <f t="shared" si="102"/>
        <v>2434.7199999999998</v>
      </c>
      <c r="J1636" s="14"/>
      <c r="K1636" s="39"/>
    </row>
    <row r="1637" spans="1:11" outlineLevel="1" x14ac:dyDescent="0.2">
      <c r="A1637" s="49" t="s">
        <v>1412</v>
      </c>
      <c r="B1637" s="96">
        <v>43371</v>
      </c>
      <c r="C1637" s="97">
        <v>43524</v>
      </c>
      <c r="D1637" s="141">
        <v>40</v>
      </c>
      <c r="E1637" s="99"/>
      <c r="F1637" s="182">
        <v>3429.8</v>
      </c>
      <c r="G1637" s="100"/>
      <c r="H1637" s="101">
        <f t="shared" si="103"/>
        <v>3429.8</v>
      </c>
      <c r="I1637" s="102">
        <f t="shared" si="102"/>
        <v>3429.8</v>
      </c>
      <c r="J1637" s="14"/>
      <c r="K1637" s="39"/>
    </row>
    <row r="1638" spans="1:11" ht="24" outlineLevel="1" x14ac:dyDescent="0.2">
      <c r="A1638" s="49" t="s">
        <v>1413</v>
      </c>
      <c r="B1638" s="96">
        <v>43354</v>
      </c>
      <c r="C1638" s="97">
        <v>43524</v>
      </c>
      <c r="D1638" s="141">
        <v>40</v>
      </c>
      <c r="E1638" s="99"/>
      <c r="F1638" s="100">
        <v>10887.37</v>
      </c>
      <c r="G1638" s="100"/>
      <c r="H1638" s="101">
        <f t="shared" ref="H1638:H1645" si="104">F1638+E1638</f>
        <v>10887.37</v>
      </c>
      <c r="I1638" s="102">
        <f t="shared" ref="I1638:I1646" si="105">H1638</f>
        <v>10887.37</v>
      </c>
      <c r="J1638" s="14"/>
      <c r="K1638" s="39"/>
    </row>
    <row r="1639" spans="1:11" outlineLevel="1" x14ac:dyDescent="0.2">
      <c r="A1639" s="49" t="s">
        <v>1414</v>
      </c>
      <c r="B1639" s="96">
        <v>43353</v>
      </c>
      <c r="C1639" s="97">
        <v>43464</v>
      </c>
      <c r="D1639" s="141">
        <v>30</v>
      </c>
      <c r="E1639" s="99"/>
      <c r="F1639" s="182">
        <v>13828.6</v>
      </c>
      <c r="G1639" s="100"/>
      <c r="H1639" s="101">
        <f t="shared" si="104"/>
        <v>13828.6</v>
      </c>
      <c r="I1639" s="102">
        <f t="shared" si="105"/>
        <v>13828.6</v>
      </c>
      <c r="J1639" s="14"/>
      <c r="K1639" s="39"/>
    </row>
    <row r="1640" spans="1:11" ht="24" outlineLevel="1" x14ac:dyDescent="0.2">
      <c r="A1640" s="49" t="s">
        <v>1415</v>
      </c>
      <c r="B1640" s="96">
        <v>43357</v>
      </c>
      <c r="C1640" s="97">
        <v>43524</v>
      </c>
      <c r="D1640" s="141">
        <v>35</v>
      </c>
      <c r="E1640" s="99"/>
      <c r="F1640" s="100">
        <v>21066.53</v>
      </c>
      <c r="G1640" s="100"/>
      <c r="H1640" s="101">
        <f t="shared" si="104"/>
        <v>21066.53</v>
      </c>
      <c r="I1640" s="102">
        <f t="shared" si="105"/>
        <v>21066.53</v>
      </c>
      <c r="J1640" s="14"/>
      <c r="K1640" s="39"/>
    </row>
    <row r="1641" spans="1:11" ht="24" outlineLevel="1" x14ac:dyDescent="0.2">
      <c r="A1641" s="49" t="s">
        <v>1416</v>
      </c>
      <c r="B1641" s="96">
        <v>43371</v>
      </c>
      <c r="C1641" s="97">
        <v>43524</v>
      </c>
      <c r="D1641" s="141">
        <v>25</v>
      </c>
      <c r="E1641" s="99"/>
      <c r="F1641" s="100">
        <v>6332.14</v>
      </c>
      <c r="G1641" s="100"/>
      <c r="H1641" s="101">
        <f t="shared" si="104"/>
        <v>6332.14</v>
      </c>
      <c r="I1641" s="102">
        <f t="shared" si="105"/>
        <v>6332.14</v>
      </c>
      <c r="J1641" s="14"/>
      <c r="K1641" s="39"/>
    </row>
    <row r="1642" spans="1:11" outlineLevel="1" x14ac:dyDescent="0.2">
      <c r="A1642" s="49" t="s">
        <v>1417</v>
      </c>
      <c r="B1642" s="96">
        <v>43371</v>
      </c>
      <c r="C1642" s="97">
        <v>43464</v>
      </c>
      <c r="D1642" s="141">
        <v>30</v>
      </c>
      <c r="E1642" s="99"/>
      <c r="F1642" s="100">
        <v>10036.69</v>
      </c>
      <c r="G1642" s="100"/>
      <c r="H1642" s="101">
        <f t="shared" si="104"/>
        <v>10036.69</v>
      </c>
      <c r="I1642" s="102">
        <f t="shared" si="105"/>
        <v>10036.69</v>
      </c>
      <c r="J1642" s="14"/>
      <c r="K1642" s="39"/>
    </row>
    <row r="1643" spans="1:11" outlineLevel="1" x14ac:dyDescent="0.2">
      <c r="A1643" s="49" t="s">
        <v>1418</v>
      </c>
      <c r="B1643" s="96">
        <v>43371</v>
      </c>
      <c r="C1643" s="97">
        <v>43524</v>
      </c>
      <c r="D1643" s="141">
        <v>50</v>
      </c>
      <c r="E1643" s="99"/>
      <c r="F1643" s="100">
        <v>4720.8599999999997</v>
      </c>
      <c r="G1643" s="100"/>
      <c r="H1643" s="101">
        <f t="shared" si="104"/>
        <v>4720.8599999999997</v>
      </c>
      <c r="I1643" s="102">
        <f t="shared" si="105"/>
        <v>4720.8599999999997</v>
      </c>
      <c r="J1643" s="71"/>
      <c r="K1643" s="115"/>
    </row>
    <row r="1644" spans="1:11" ht="24" outlineLevel="1" x14ac:dyDescent="0.2">
      <c r="A1644" s="49" t="s">
        <v>1419</v>
      </c>
      <c r="B1644" s="96">
        <v>43371</v>
      </c>
      <c r="C1644" s="97">
        <v>43464</v>
      </c>
      <c r="D1644" s="141">
        <v>40</v>
      </c>
      <c r="E1644" s="99"/>
      <c r="F1644" s="100">
        <v>3629.77</v>
      </c>
      <c r="G1644" s="100"/>
      <c r="H1644" s="101">
        <f t="shared" si="104"/>
        <v>3629.77</v>
      </c>
      <c r="I1644" s="102">
        <f t="shared" si="105"/>
        <v>3629.77</v>
      </c>
      <c r="J1644" s="71"/>
      <c r="K1644" s="115"/>
    </row>
    <row r="1645" spans="1:11" ht="24" outlineLevel="1" x14ac:dyDescent="0.2">
      <c r="A1645" s="49" t="s">
        <v>1420</v>
      </c>
      <c r="B1645" s="96">
        <v>43371</v>
      </c>
      <c r="C1645" s="97">
        <v>43464</v>
      </c>
      <c r="D1645" s="141">
        <v>15</v>
      </c>
      <c r="E1645" s="99"/>
      <c r="F1645" s="100">
        <v>6460.13</v>
      </c>
      <c r="G1645" s="100"/>
      <c r="H1645" s="101">
        <f t="shared" si="104"/>
        <v>6460.13</v>
      </c>
      <c r="I1645" s="102">
        <f t="shared" si="105"/>
        <v>6460.13</v>
      </c>
      <c r="J1645" s="71"/>
      <c r="K1645" s="115"/>
    </row>
    <row r="1646" spans="1:11" x14ac:dyDescent="0.2">
      <c r="A1646" s="154"/>
      <c r="B1646" s="96"/>
      <c r="C1646" s="97"/>
      <c r="D1646" s="141"/>
      <c r="E1646" s="101"/>
      <c r="F1646" s="104">
        <f>SUM(F1574:F1645)</f>
        <v>838838.49999999988</v>
      </c>
      <c r="G1646" s="104"/>
      <c r="H1646" s="101">
        <f>SUM(H1574:H1645)</f>
        <v>838838.49999999988</v>
      </c>
      <c r="I1646" s="102">
        <f t="shared" si="105"/>
        <v>838838.49999999988</v>
      </c>
      <c r="J1646" s="71"/>
      <c r="K1646" s="115"/>
    </row>
    <row r="1647" spans="1:11" x14ac:dyDescent="0.2">
      <c r="A1647" s="154"/>
      <c r="B1647" s="96"/>
      <c r="C1647" s="97"/>
      <c r="D1647" s="141"/>
      <c r="E1647" s="101"/>
      <c r="F1647" s="104"/>
      <c r="G1647" s="104"/>
      <c r="H1647" s="101"/>
      <c r="I1647" s="102"/>
      <c r="J1647" s="71"/>
      <c r="K1647" s="115"/>
    </row>
    <row r="1648" spans="1:11" ht="24" x14ac:dyDescent="0.2">
      <c r="A1648" s="40" t="s">
        <v>1062</v>
      </c>
      <c r="B1648" s="108"/>
      <c r="C1648" s="107"/>
      <c r="D1648" s="188"/>
      <c r="E1648" s="124"/>
      <c r="F1648" s="124"/>
      <c r="G1648" s="123"/>
      <c r="H1648" s="33"/>
      <c r="I1648" s="43"/>
      <c r="J1648" s="14"/>
      <c r="K1648" s="39"/>
    </row>
    <row r="1649" spans="1:11" ht="24" x14ac:dyDescent="0.2">
      <c r="A1649" s="128" t="s">
        <v>1063</v>
      </c>
      <c r="B1649" s="108">
        <v>43281</v>
      </c>
      <c r="C1649" s="107">
        <v>43434</v>
      </c>
      <c r="D1649" s="188">
        <v>70</v>
      </c>
      <c r="E1649" s="124"/>
      <c r="F1649" s="124">
        <v>68774.77</v>
      </c>
      <c r="G1649" s="123"/>
      <c r="H1649" s="33">
        <v>68774.77</v>
      </c>
      <c r="I1649" s="33">
        <v>68774.77</v>
      </c>
      <c r="J1649" s="38"/>
      <c r="K1649" s="38"/>
    </row>
    <row r="1650" spans="1:11" ht="12.75" x14ac:dyDescent="0.2">
      <c r="A1650" s="50"/>
      <c r="B1650" s="89"/>
      <c r="C1650" s="108"/>
      <c r="D1650" s="189"/>
      <c r="E1650" s="58">
        <f>SUM(E1648:E1649)</f>
        <v>0</v>
      </c>
      <c r="F1650" s="58">
        <f>SUM(F1648:F1649)</f>
        <v>68774.77</v>
      </c>
      <c r="G1650" s="58">
        <f>SUM(G1648:G1649)</f>
        <v>0</v>
      </c>
      <c r="H1650" s="58">
        <f>SUM(H1648:H1649)</f>
        <v>68774.77</v>
      </c>
      <c r="I1650" s="58">
        <f>SUM(I1648:I1649)</f>
        <v>68774.77</v>
      </c>
      <c r="J1650" s="71"/>
      <c r="K1650" s="115"/>
    </row>
    <row r="1651" spans="1:11" ht="12.75" x14ac:dyDescent="0.2">
      <c r="A1651" s="50"/>
      <c r="B1651" s="89"/>
      <c r="C1651" s="108"/>
      <c r="D1651" s="189"/>
      <c r="E1651" s="58"/>
      <c r="F1651" s="58"/>
      <c r="G1651" s="58"/>
      <c r="H1651" s="58"/>
      <c r="I1651" s="58"/>
      <c r="J1651" s="71"/>
      <c r="K1651" s="115"/>
    </row>
    <row r="1652" spans="1:11" ht="12.75" x14ac:dyDescent="0.2">
      <c r="A1652" s="50" t="s">
        <v>1656</v>
      </c>
      <c r="B1652" s="89"/>
      <c r="C1652" s="108"/>
      <c r="D1652" s="189"/>
      <c r="E1652" s="58">
        <f>E143+E165+E228+E267+E388+E554+E599+E623+E692+E701+E776+E788+E805+E891+E1360+E1382+E1550+E1558+E1566+E1571+E1650+E607+E1371</f>
        <v>430174645.70999986</v>
      </c>
      <c r="F1652" s="58">
        <f>F143+F165+F228+F267+F388+F554+F599+F607+F623+F692+F701+F776+F788+F805+F891+F1360+F1371+F1382+F1550+F1558+F1566+F1571+F1646+F1650</f>
        <v>1042138482.8499998</v>
      </c>
      <c r="G1652" s="58">
        <f>G143+G165+G228+G267+G388+G554+G599+G623+G692+G701+G776+G788+G805+G891+G1360+G1382+G1550+G1558+G1566+G1571+G1650+G607+G1371</f>
        <v>162245235.28999999</v>
      </c>
      <c r="H1652" s="58">
        <f>H143+H165+H228+H267+H388+H554+H599+H607+H623+H692+H701+H776+H788+H805+H891+H1360+H1371+H1382+H1550+H1558+H1566+H1571+H1646+H1650</f>
        <v>1634558363.8499994</v>
      </c>
      <c r="I1652" s="58">
        <f>I143+I165+I228+I267+I388+I554+I599+I607+I623+I692+I701+I776+I788+I805+I891+I1360+I1371+I1382+I1550+I1558+I1566+I1571+I1646+I1650</f>
        <v>1634558363.8499994</v>
      </c>
      <c r="J1652" s="71"/>
      <c r="K1652" s="115"/>
    </row>
    <row r="1653" spans="1:11" ht="12.75" x14ac:dyDescent="0.2">
      <c r="A1653" s="50"/>
      <c r="B1653" s="89"/>
      <c r="C1653" s="108"/>
      <c r="D1653" s="189"/>
      <c r="E1653" s="58"/>
      <c r="F1653" s="58"/>
      <c r="G1653" s="58"/>
      <c r="H1653" s="58"/>
      <c r="I1653" s="58"/>
      <c r="J1653" s="71"/>
      <c r="K1653" s="115"/>
    </row>
    <row r="1654" spans="1:11" x14ac:dyDescent="0.2">
      <c r="A1654" s="131" t="s">
        <v>1064</v>
      </c>
      <c r="B1654" s="89"/>
      <c r="C1654" s="89"/>
      <c r="D1654" s="130"/>
      <c r="E1654" s="14"/>
      <c r="F1654" s="14"/>
      <c r="G1654" s="14"/>
      <c r="H1654" s="58"/>
      <c r="I1654" s="58"/>
      <c r="J1654" s="65"/>
      <c r="K1654" s="65"/>
    </row>
    <row r="1655" spans="1:11" ht="12" customHeight="1" outlineLevel="1" x14ac:dyDescent="0.2">
      <c r="A1655" s="49" t="s">
        <v>1623</v>
      </c>
      <c r="B1655" s="96">
        <v>43291</v>
      </c>
      <c r="C1655" s="89">
        <v>43465</v>
      </c>
      <c r="D1655" s="130"/>
      <c r="E1655" s="14"/>
      <c r="F1655" s="14"/>
      <c r="G1655" s="98">
        <v>154600</v>
      </c>
      <c r="H1655" s="58">
        <f>G1655</f>
        <v>154600</v>
      </c>
      <c r="I1655" s="58">
        <f>H1655</f>
        <v>154600</v>
      </c>
      <c r="J1655" s="65"/>
      <c r="K1655" s="65"/>
    </row>
    <row r="1656" spans="1:11" ht="12" customHeight="1" outlineLevel="1" x14ac:dyDescent="0.2">
      <c r="A1656" s="49" t="s">
        <v>1624</v>
      </c>
      <c r="B1656" s="96">
        <v>43291</v>
      </c>
      <c r="C1656" s="89">
        <v>43465</v>
      </c>
      <c r="D1656" s="130"/>
      <c r="E1656" s="14"/>
      <c r="F1656" s="98"/>
      <c r="G1656" s="98">
        <v>81800</v>
      </c>
      <c r="H1656" s="58">
        <f t="shared" ref="H1656:H1659" si="106">G1656</f>
        <v>81800</v>
      </c>
      <c r="I1656" s="58">
        <f t="shared" ref="I1656:I1660" si="107">H1656</f>
        <v>81800</v>
      </c>
      <c r="J1656" s="73"/>
      <c r="K1656" s="65"/>
    </row>
    <row r="1657" spans="1:11" ht="12" customHeight="1" outlineLevel="1" x14ac:dyDescent="0.2">
      <c r="A1657" s="49" t="s">
        <v>1625</v>
      </c>
      <c r="B1657" s="96">
        <v>43291</v>
      </c>
      <c r="C1657" s="89">
        <v>43465</v>
      </c>
      <c r="D1657" s="130"/>
      <c r="E1657" s="14"/>
      <c r="F1657" s="98"/>
      <c r="G1657" s="98">
        <v>180760</v>
      </c>
      <c r="H1657" s="58">
        <f t="shared" si="106"/>
        <v>180760</v>
      </c>
      <c r="I1657" s="58">
        <f t="shared" si="107"/>
        <v>180760</v>
      </c>
      <c r="J1657" s="73"/>
      <c r="K1657" s="65"/>
    </row>
    <row r="1658" spans="1:11" ht="12" customHeight="1" outlineLevel="1" x14ac:dyDescent="0.2">
      <c r="A1658" s="49" t="s">
        <v>1626</v>
      </c>
      <c r="B1658" s="96">
        <v>43291</v>
      </c>
      <c r="C1658" s="89">
        <v>43465</v>
      </c>
      <c r="D1658" s="130"/>
      <c r="E1658" s="14"/>
      <c r="F1658" s="98"/>
      <c r="G1658" s="98">
        <v>164600</v>
      </c>
      <c r="H1658" s="58">
        <f t="shared" si="106"/>
        <v>164600</v>
      </c>
      <c r="I1658" s="58">
        <f t="shared" si="107"/>
        <v>164600</v>
      </c>
      <c r="J1658" s="73"/>
      <c r="K1658" s="65"/>
    </row>
    <row r="1659" spans="1:11" outlineLevel="1" x14ac:dyDescent="0.2">
      <c r="A1659" s="49" t="s">
        <v>1627</v>
      </c>
      <c r="B1659" s="96">
        <v>43343</v>
      </c>
      <c r="C1659" s="89">
        <v>43465</v>
      </c>
      <c r="D1659" s="130"/>
      <c r="E1659" s="14"/>
      <c r="F1659" s="98"/>
      <c r="G1659" s="98">
        <v>61508.480000000003</v>
      </c>
      <c r="H1659" s="58">
        <f t="shared" si="106"/>
        <v>61508.480000000003</v>
      </c>
      <c r="I1659" s="58">
        <f t="shared" si="107"/>
        <v>61508.480000000003</v>
      </c>
      <c r="J1659" s="73"/>
      <c r="K1659" s="65"/>
    </row>
    <row r="1660" spans="1:11" x14ac:dyDescent="0.2">
      <c r="A1660" s="145"/>
      <c r="B1660" s="96"/>
      <c r="C1660" s="97"/>
      <c r="D1660" s="130"/>
      <c r="E1660" s="14"/>
      <c r="F1660" s="98"/>
      <c r="G1660" s="48">
        <f>SUM(G1655:G1659)</f>
        <v>643268.48</v>
      </c>
      <c r="H1660" s="58">
        <f>SUM(H1655:H1659)</f>
        <v>643268.48</v>
      </c>
      <c r="I1660" s="58">
        <f t="shared" si="107"/>
        <v>643268.48</v>
      </c>
      <c r="J1660" s="73"/>
      <c r="K1660" s="65"/>
    </row>
    <row r="1661" spans="1:11" ht="12" customHeight="1" x14ac:dyDescent="0.2">
      <c r="A1661" s="145"/>
      <c r="B1661" s="89"/>
      <c r="C1661" s="89"/>
      <c r="D1661" s="130"/>
      <c r="E1661" s="14"/>
      <c r="F1661" s="48"/>
      <c r="G1661" s="14"/>
      <c r="H1661" s="48"/>
      <c r="I1661" s="48"/>
      <c r="J1661" s="73"/>
      <c r="K1661" s="65"/>
    </row>
    <row r="1662" spans="1:11" x14ac:dyDescent="0.2">
      <c r="A1662" s="131" t="s">
        <v>1630</v>
      </c>
      <c r="B1662" s="89"/>
      <c r="C1662" s="89"/>
      <c r="D1662" s="130"/>
      <c r="E1662" s="14"/>
      <c r="F1662" s="14"/>
      <c r="G1662" s="14"/>
      <c r="H1662" s="48"/>
      <c r="I1662" s="48"/>
      <c r="J1662" s="73"/>
      <c r="K1662" s="65"/>
    </row>
    <row r="1663" spans="1:11" outlineLevel="1" x14ac:dyDescent="0.2">
      <c r="A1663" s="160" t="s">
        <v>1066</v>
      </c>
      <c r="B1663" s="89">
        <v>43165</v>
      </c>
      <c r="C1663" s="89">
        <v>43465</v>
      </c>
      <c r="D1663" s="130"/>
      <c r="E1663" s="14"/>
      <c r="F1663" s="14"/>
      <c r="G1663" s="142">
        <v>558.08000000000004</v>
      </c>
      <c r="H1663" s="48">
        <f>G1663</f>
        <v>558.08000000000004</v>
      </c>
      <c r="I1663" s="48">
        <f>H1663</f>
        <v>558.08000000000004</v>
      </c>
      <c r="J1663" s="73"/>
      <c r="K1663" s="65"/>
    </row>
    <row r="1664" spans="1:11" outlineLevel="1" x14ac:dyDescent="0.2">
      <c r="A1664" s="160" t="s">
        <v>1067</v>
      </c>
      <c r="B1664" s="89">
        <v>43189</v>
      </c>
      <c r="C1664" s="89">
        <v>43465</v>
      </c>
      <c r="D1664" s="130"/>
      <c r="E1664" s="14"/>
      <c r="F1664" s="14"/>
      <c r="G1664" s="98">
        <v>29576.27</v>
      </c>
      <c r="H1664" s="48">
        <f t="shared" ref="H1664:I1686" si="108">G1664</f>
        <v>29576.27</v>
      </c>
      <c r="I1664" s="48">
        <f t="shared" si="108"/>
        <v>29576.27</v>
      </c>
      <c r="J1664" s="73"/>
      <c r="K1664" s="65"/>
    </row>
    <row r="1665" spans="1:11" outlineLevel="1" x14ac:dyDescent="0.2">
      <c r="A1665" s="160" t="s">
        <v>1068</v>
      </c>
      <c r="B1665" s="89">
        <v>43189</v>
      </c>
      <c r="C1665" s="89">
        <v>43465</v>
      </c>
      <c r="D1665" s="130"/>
      <c r="E1665" s="14"/>
      <c r="F1665" s="39"/>
      <c r="G1665" s="98">
        <v>2020.09</v>
      </c>
      <c r="H1665" s="48">
        <f t="shared" si="108"/>
        <v>2020.09</v>
      </c>
      <c r="I1665" s="48">
        <f t="shared" si="108"/>
        <v>2020.09</v>
      </c>
      <c r="J1665" s="73"/>
      <c r="K1665" s="65"/>
    </row>
    <row r="1666" spans="1:11" outlineLevel="1" x14ac:dyDescent="0.2">
      <c r="A1666" s="160" t="s">
        <v>1069</v>
      </c>
      <c r="B1666" s="89">
        <v>43165</v>
      </c>
      <c r="C1666" s="89">
        <v>43465</v>
      </c>
      <c r="D1666" s="130"/>
      <c r="E1666" s="14"/>
      <c r="F1666" s="39"/>
      <c r="G1666" s="98">
        <v>2464</v>
      </c>
      <c r="H1666" s="48">
        <f t="shared" si="108"/>
        <v>2464</v>
      </c>
      <c r="I1666" s="48">
        <f t="shared" si="108"/>
        <v>2464</v>
      </c>
      <c r="J1666" s="73"/>
      <c r="K1666" s="65"/>
    </row>
    <row r="1667" spans="1:11" outlineLevel="1" x14ac:dyDescent="0.2">
      <c r="A1667" s="160" t="s">
        <v>1070</v>
      </c>
      <c r="B1667" s="89">
        <v>43165</v>
      </c>
      <c r="C1667" s="89">
        <v>43465</v>
      </c>
      <c r="D1667" s="130"/>
      <c r="E1667" s="14"/>
      <c r="F1667" s="39"/>
      <c r="G1667" s="98">
        <v>1627.08</v>
      </c>
      <c r="H1667" s="48">
        <f t="shared" si="108"/>
        <v>1627.08</v>
      </c>
      <c r="I1667" s="48">
        <f t="shared" si="108"/>
        <v>1627.08</v>
      </c>
      <c r="J1667" s="73"/>
      <c r="K1667" s="65"/>
    </row>
    <row r="1668" spans="1:11" outlineLevel="1" x14ac:dyDescent="0.2">
      <c r="A1668" s="160" t="s">
        <v>1071</v>
      </c>
      <c r="B1668" s="89">
        <v>43165</v>
      </c>
      <c r="C1668" s="89">
        <v>43465</v>
      </c>
      <c r="D1668" s="130"/>
      <c r="E1668" s="14"/>
      <c r="F1668" s="39"/>
      <c r="G1668" s="142">
        <v>922.86</v>
      </c>
      <c r="H1668" s="48">
        <f t="shared" si="108"/>
        <v>922.86</v>
      </c>
      <c r="I1668" s="48">
        <f t="shared" si="108"/>
        <v>922.86</v>
      </c>
      <c r="J1668" s="73"/>
      <c r="K1668" s="65"/>
    </row>
    <row r="1669" spans="1:11" outlineLevel="1" x14ac:dyDescent="0.2">
      <c r="A1669" s="160" t="s">
        <v>1072</v>
      </c>
      <c r="B1669" s="89">
        <v>43165</v>
      </c>
      <c r="C1669" s="89">
        <v>43465</v>
      </c>
      <c r="D1669" s="130"/>
      <c r="E1669" s="14"/>
      <c r="F1669" s="39"/>
      <c r="G1669" s="98">
        <v>1895.52</v>
      </c>
      <c r="H1669" s="48">
        <f t="shared" si="108"/>
        <v>1895.52</v>
      </c>
      <c r="I1669" s="48">
        <f t="shared" si="108"/>
        <v>1895.52</v>
      </c>
      <c r="J1669" s="73"/>
      <c r="K1669" s="65"/>
    </row>
    <row r="1670" spans="1:11" ht="12" customHeight="1" outlineLevel="1" x14ac:dyDescent="0.2">
      <c r="A1670" s="160" t="s">
        <v>1073</v>
      </c>
      <c r="B1670" s="89">
        <v>43165</v>
      </c>
      <c r="C1670" s="89">
        <v>43465</v>
      </c>
      <c r="D1670" s="130"/>
      <c r="E1670" s="14"/>
      <c r="F1670" s="39"/>
      <c r="G1670" s="98">
        <v>1418.58</v>
      </c>
      <c r="H1670" s="48">
        <f t="shared" si="108"/>
        <v>1418.58</v>
      </c>
      <c r="I1670" s="48">
        <f t="shared" si="108"/>
        <v>1418.58</v>
      </c>
      <c r="J1670" s="73"/>
      <c r="K1670" s="65"/>
    </row>
    <row r="1671" spans="1:11" ht="12" customHeight="1" outlineLevel="1" x14ac:dyDescent="0.2">
      <c r="A1671" s="160" t="s">
        <v>1074</v>
      </c>
      <c r="B1671" s="89">
        <v>43361</v>
      </c>
      <c r="C1671" s="89">
        <v>43465</v>
      </c>
      <c r="D1671" s="130"/>
      <c r="E1671" s="14"/>
      <c r="F1671" s="39"/>
      <c r="G1671" s="98">
        <v>168593.25</v>
      </c>
      <c r="H1671" s="48">
        <f t="shared" si="108"/>
        <v>168593.25</v>
      </c>
      <c r="I1671" s="48">
        <f t="shared" si="108"/>
        <v>168593.25</v>
      </c>
      <c r="J1671" s="73"/>
      <c r="K1671" s="65"/>
    </row>
    <row r="1672" spans="1:11" ht="12" customHeight="1" outlineLevel="1" x14ac:dyDescent="0.2">
      <c r="A1672" s="160" t="s">
        <v>1074</v>
      </c>
      <c r="B1672" s="89">
        <v>43361</v>
      </c>
      <c r="C1672" s="89">
        <v>43465</v>
      </c>
      <c r="D1672" s="130"/>
      <c r="E1672" s="14"/>
      <c r="F1672" s="39"/>
      <c r="G1672" s="98">
        <v>113013.06</v>
      </c>
      <c r="H1672" s="48">
        <f t="shared" si="108"/>
        <v>113013.06</v>
      </c>
      <c r="I1672" s="48">
        <f t="shared" si="108"/>
        <v>113013.06</v>
      </c>
      <c r="J1672" s="73"/>
      <c r="K1672" s="65"/>
    </row>
    <row r="1673" spans="1:11" ht="12" customHeight="1" outlineLevel="1" x14ac:dyDescent="0.2">
      <c r="A1673" s="160" t="s">
        <v>1074</v>
      </c>
      <c r="B1673" s="89">
        <v>43361</v>
      </c>
      <c r="C1673" s="89">
        <v>43465</v>
      </c>
      <c r="D1673" s="130"/>
      <c r="E1673" s="14"/>
      <c r="F1673" s="39"/>
      <c r="G1673" s="98">
        <v>113939.39</v>
      </c>
      <c r="H1673" s="48">
        <f t="shared" si="108"/>
        <v>113939.39</v>
      </c>
      <c r="I1673" s="48">
        <f t="shared" si="108"/>
        <v>113939.39</v>
      </c>
      <c r="J1673" s="73"/>
      <c r="K1673" s="65"/>
    </row>
    <row r="1674" spans="1:11" ht="12" customHeight="1" outlineLevel="1" x14ac:dyDescent="0.2">
      <c r="A1674" s="160" t="s">
        <v>1628</v>
      </c>
      <c r="B1674" s="89">
        <v>43361</v>
      </c>
      <c r="C1674" s="89">
        <v>43465</v>
      </c>
      <c r="D1674" s="130"/>
      <c r="E1674" s="14"/>
      <c r="F1674" s="39"/>
      <c r="G1674" s="98">
        <v>2833663.42</v>
      </c>
      <c r="H1674" s="48">
        <f t="shared" si="108"/>
        <v>2833663.42</v>
      </c>
      <c r="I1674" s="48">
        <f t="shared" si="108"/>
        <v>2833663.42</v>
      </c>
      <c r="J1674" s="73"/>
      <c r="K1674" s="65"/>
    </row>
    <row r="1675" spans="1:11" ht="12" customHeight="1" outlineLevel="1" x14ac:dyDescent="0.2">
      <c r="A1675" s="160" t="s">
        <v>1075</v>
      </c>
      <c r="B1675" s="89">
        <v>43361</v>
      </c>
      <c r="C1675" s="89">
        <v>43465</v>
      </c>
      <c r="D1675" s="130"/>
      <c r="E1675" s="14"/>
      <c r="F1675" s="39"/>
      <c r="G1675" s="98">
        <v>359418.5</v>
      </c>
      <c r="H1675" s="48">
        <f t="shared" si="108"/>
        <v>359418.5</v>
      </c>
      <c r="I1675" s="48">
        <f t="shared" si="108"/>
        <v>359418.5</v>
      </c>
      <c r="J1675" s="73"/>
      <c r="K1675" s="65"/>
    </row>
    <row r="1676" spans="1:11" ht="12" customHeight="1" outlineLevel="1" x14ac:dyDescent="0.2">
      <c r="A1676" s="160" t="s">
        <v>1075</v>
      </c>
      <c r="B1676" s="89">
        <v>43361</v>
      </c>
      <c r="C1676" s="89">
        <v>43465</v>
      </c>
      <c r="D1676" s="130"/>
      <c r="E1676" s="14"/>
      <c r="F1676" s="39"/>
      <c r="G1676" s="98">
        <v>192678</v>
      </c>
      <c r="H1676" s="48">
        <f t="shared" si="108"/>
        <v>192678</v>
      </c>
      <c r="I1676" s="48">
        <f t="shared" si="108"/>
        <v>192678</v>
      </c>
      <c r="J1676" s="73"/>
      <c r="K1676" s="65"/>
    </row>
    <row r="1677" spans="1:11" outlineLevel="1" x14ac:dyDescent="0.2">
      <c r="A1677" s="160" t="s">
        <v>1076</v>
      </c>
      <c r="B1677" s="89">
        <v>43361</v>
      </c>
      <c r="C1677" s="89">
        <v>43465</v>
      </c>
      <c r="D1677" s="130"/>
      <c r="E1677" s="14"/>
      <c r="F1677" s="14"/>
      <c r="G1677" s="98">
        <v>459462.92</v>
      </c>
      <c r="H1677" s="48">
        <f t="shared" si="108"/>
        <v>459462.92</v>
      </c>
      <c r="I1677" s="48">
        <f t="shared" si="108"/>
        <v>459462.92</v>
      </c>
      <c r="J1677" s="73"/>
      <c r="K1677" s="65"/>
    </row>
    <row r="1678" spans="1:11" outlineLevel="1" x14ac:dyDescent="0.2">
      <c r="A1678" s="160" t="s">
        <v>1077</v>
      </c>
      <c r="B1678" s="89">
        <v>43164</v>
      </c>
      <c r="C1678" s="89">
        <v>43465</v>
      </c>
      <c r="D1678" s="130"/>
      <c r="E1678" s="14"/>
      <c r="F1678" s="14"/>
      <c r="G1678" s="98">
        <v>27093.22</v>
      </c>
      <c r="H1678" s="48">
        <f t="shared" si="108"/>
        <v>27093.22</v>
      </c>
      <c r="I1678" s="48">
        <f t="shared" si="108"/>
        <v>27093.22</v>
      </c>
      <c r="J1678" s="73"/>
      <c r="K1678" s="65"/>
    </row>
    <row r="1679" spans="1:11" outlineLevel="1" x14ac:dyDescent="0.2">
      <c r="A1679" s="160" t="s">
        <v>1078</v>
      </c>
      <c r="B1679" s="89">
        <v>43164</v>
      </c>
      <c r="C1679" s="89">
        <v>43465</v>
      </c>
      <c r="D1679" s="130"/>
      <c r="E1679" s="14"/>
      <c r="F1679" s="14"/>
      <c r="G1679" s="142">
        <v>293.22000000000003</v>
      </c>
      <c r="H1679" s="48">
        <f t="shared" si="108"/>
        <v>293.22000000000003</v>
      </c>
      <c r="I1679" s="48">
        <f t="shared" si="108"/>
        <v>293.22000000000003</v>
      </c>
      <c r="J1679" s="73"/>
      <c r="K1679" s="65"/>
    </row>
    <row r="1680" spans="1:11" outlineLevel="1" x14ac:dyDescent="0.2">
      <c r="A1680" s="160" t="s">
        <v>1079</v>
      </c>
      <c r="B1680" s="89">
        <v>43165</v>
      </c>
      <c r="C1680" s="89">
        <v>43465</v>
      </c>
      <c r="D1680" s="130"/>
      <c r="E1680" s="14"/>
      <c r="F1680" s="14"/>
      <c r="G1680" s="98">
        <v>2524</v>
      </c>
      <c r="H1680" s="48">
        <f t="shared" si="108"/>
        <v>2524</v>
      </c>
      <c r="I1680" s="48">
        <f t="shared" si="108"/>
        <v>2524</v>
      </c>
      <c r="J1680" s="73"/>
      <c r="K1680" s="65"/>
    </row>
    <row r="1681" spans="1:11" outlineLevel="1" x14ac:dyDescent="0.2">
      <c r="A1681" s="160" t="s">
        <v>1080</v>
      </c>
      <c r="B1681" s="89">
        <v>43165</v>
      </c>
      <c r="C1681" s="89">
        <v>43465</v>
      </c>
      <c r="D1681" s="130"/>
      <c r="E1681" s="14"/>
      <c r="F1681" s="14"/>
      <c r="G1681" s="142">
        <v>121.66</v>
      </c>
      <c r="H1681" s="48">
        <f t="shared" si="108"/>
        <v>121.66</v>
      </c>
      <c r="I1681" s="48">
        <f t="shared" si="108"/>
        <v>121.66</v>
      </c>
      <c r="J1681" s="73"/>
      <c r="K1681" s="65"/>
    </row>
    <row r="1682" spans="1:11" outlineLevel="1" x14ac:dyDescent="0.2">
      <c r="A1682" s="160" t="s">
        <v>1629</v>
      </c>
      <c r="B1682" s="89">
        <v>43313</v>
      </c>
      <c r="C1682" s="89">
        <v>43465</v>
      </c>
      <c r="D1682" s="130"/>
      <c r="E1682" s="14"/>
      <c r="F1682" s="14"/>
      <c r="G1682" s="98">
        <v>88983.05</v>
      </c>
      <c r="H1682" s="48">
        <f t="shared" si="108"/>
        <v>88983.05</v>
      </c>
      <c r="I1682" s="48">
        <f t="shared" si="108"/>
        <v>88983.05</v>
      </c>
      <c r="J1682" s="73"/>
      <c r="K1682" s="65"/>
    </row>
    <row r="1683" spans="1:11" outlineLevel="1" x14ac:dyDescent="0.2">
      <c r="A1683" s="160" t="s">
        <v>1081</v>
      </c>
      <c r="B1683" s="89">
        <v>43189</v>
      </c>
      <c r="C1683" s="89">
        <v>43465</v>
      </c>
      <c r="D1683" s="130"/>
      <c r="E1683" s="14"/>
      <c r="F1683" s="14"/>
      <c r="G1683" s="98">
        <v>2250</v>
      </c>
      <c r="H1683" s="48">
        <f t="shared" si="108"/>
        <v>2250</v>
      </c>
      <c r="I1683" s="48">
        <f t="shared" si="108"/>
        <v>2250</v>
      </c>
      <c r="J1683" s="73"/>
      <c r="K1683" s="65"/>
    </row>
    <row r="1684" spans="1:11" outlineLevel="1" x14ac:dyDescent="0.2">
      <c r="A1684" s="160" t="s">
        <v>1082</v>
      </c>
      <c r="B1684" s="89">
        <v>43165</v>
      </c>
      <c r="C1684" s="89">
        <v>43465</v>
      </c>
      <c r="D1684" s="130"/>
      <c r="E1684" s="14"/>
      <c r="F1684" s="14"/>
      <c r="G1684" s="142">
        <v>416.13</v>
      </c>
      <c r="H1684" s="48">
        <f t="shared" si="108"/>
        <v>416.13</v>
      </c>
      <c r="I1684" s="48">
        <f t="shared" si="108"/>
        <v>416.13</v>
      </c>
      <c r="J1684" s="73"/>
      <c r="K1684" s="65"/>
    </row>
    <row r="1685" spans="1:11" outlineLevel="1" x14ac:dyDescent="0.2">
      <c r="A1685" s="160" t="s">
        <v>1083</v>
      </c>
      <c r="B1685" s="89">
        <v>43189</v>
      </c>
      <c r="C1685" s="89">
        <v>43465</v>
      </c>
      <c r="D1685" s="130"/>
      <c r="E1685" s="14"/>
      <c r="F1685" s="14"/>
      <c r="G1685" s="98">
        <v>1220.3399999999999</v>
      </c>
      <c r="H1685" s="48">
        <f t="shared" si="108"/>
        <v>1220.3399999999999</v>
      </c>
      <c r="I1685" s="48">
        <f t="shared" si="108"/>
        <v>1220.3399999999999</v>
      </c>
      <c r="J1685" s="73"/>
      <c r="K1685" s="65"/>
    </row>
    <row r="1686" spans="1:11" x14ac:dyDescent="0.2">
      <c r="A1686" s="160"/>
      <c r="B1686" s="89"/>
      <c r="C1686" s="93"/>
      <c r="D1686" s="130"/>
      <c r="E1686" s="14"/>
      <c r="F1686" s="14"/>
      <c r="G1686" s="102">
        <f>SUM(G1663:G1685)</f>
        <v>4404152.6399999997</v>
      </c>
      <c r="H1686" s="48">
        <f>SUM(H1663:H1685)</f>
        <v>4404152.6399999997</v>
      </c>
      <c r="I1686" s="48">
        <f t="shared" si="108"/>
        <v>4404152.6399999997</v>
      </c>
      <c r="J1686" s="73"/>
      <c r="K1686" s="65"/>
    </row>
    <row r="1687" spans="1:11" x14ac:dyDescent="0.2">
      <c r="A1687" s="161"/>
      <c r="B1687" s="89"/>
      <c r="C1687" s="93"/>
      <c r="D1687" s="130"/>
      <c r="E1687" s="14"/>
      <c r="F1687" s="14"/>
      <c r="G1687" s="98"/>
      <c r="H1687" s="48"/>
      <c r="I1687" s="48"/>
      <c r="J1687" s="73"/>
      <c r="K1687" s="65"/>
    </row>
    <row r="1688" spans="1:11" x14ac:dyDescent="0.2">
      <c r="A1688" s="24" t="s">
        <v>274</v>
      </c>
      <c r="B1688" s="89"/>
      <c r="C1688" s="89"/>
      <c r="D1688" s="129"/>
      <c r="E1688" s="62">
        <f>E1652</f>
        <v>430174645.70999986</v>
      </c>
      <c r="F1688" s="62">
        <f>F143+F165+F228+F267+F388+F554+F599+F607+F623+F692+F701+F776+F788+F805+F891+F1360+F1371+F1382+F1550+F1558+F1566+F1571+F1646+F1650+F1660+F1686</f>
        <v>1042138482.8499998</v>
      </c>
      <c r="G1688" s="62">
        <f>G1652+G1660+G1686</f>
        <v>167292656.40999997</v>
      </c>
      <c r="H1688" s="48">
        <f>H1652+H1660+H1686</f>
        <v>1639605784.9699996</v>
      </c>
      <c r="I1688" s="48">
        <f>I1652+I1660+I1686</f>
        <v>1639605784.9699996</v>
      </c>
      <c r="J1688" s="73"/>
      <c r="K1688" s="65"/>
    </row>
    <row r="1689" spans="1:11" x14ac:dyDescent="0.2">
      <c r="A1689" s="17"/>
      <c r="B1689" s="89"/>
      <c r="C1689" s="89"/>
      <c r="D1689" s="130"/>
      <c r="E1689" s="14"/>
      <c r="F1689" s="14"/>
      <c r="G1689" s="14"/>
      <c r="H1689" s="48"/>
      <c r="I1689" s="48"/>
      <c r="J1689" s="73"/>
      <c r="K1689" s="65"/>
    </row>
    <row r="1692" spans="1:11" x14ac:dyDescent="0.2">
      <c r="A1692" s="32"/>
    </row>
    <row r="1693" spans="1:11" x14ac:dyDescent="0.2">
      <c r="A1693" s="32"/>
    </row>
    <row r="1694" spans="1:11" x14ac:dyDescent="0.2">
      <c r="A1694" s="32"/>
    </row>
    <row r="1695" spans="1:11" x14ac:dyDescent="0.2">
      <c r="A1695" s="32"/>
    </row>
    <row r="1696" spans="1:11" x14ac:dyDescent="0.2">
      <c r="A1696" s="32" t="s">
        <v>1657</v>
      </c>
    </row>
    <row r="1697" spans="1:7" x14ac:dyDescent="0.2">
      <c r="A1697" s="32"/>
    </row>
    <row r="1698" spans="1:7" x14ac:dyDescent="0.2">
      <c r="A1698" s="32" t="s">
        <v>1658</v>
      </c>
      <c r="C1698" s="91" t="s">
        <v>1659</v>
      </c>
      <c r="G1698" s="84" t="s">
        <v>1660</v>
      </c>
    </row>
    <row r="1699" spans="1:7" x14ac:dyDescent="0.2">
      <c r="A1699" s="32"/>
    </row>
    <row r="1700" spans="1:7" x14ac:dyDescent="0.2">
      <c r="A1700" s="32" t="s">
        <v>1661</v>
      </c>
      <c r="F1700" s="84" t="s">
        <v>1662</v>
      </c>
    </row>
    <row r="1701" spans="1:7" x14ac:dyDescent="0.2">
      <c r="A1701" s="32"/>
    </row>
    <row r="1702" spans="1:7" ht="24" x14ac:dyDescent="0.2">
      <c r="A1702" s="32" t="s">
        <v>1663</v>
      </c>
      <c r="C1702" s="91" t="s">
        <v>1659</v>
      </c>
      <c r="G1702" s="84" t="s">
        <v>1664</v>
      </c>
    </row>
    <row r="1703" spans="1:7" x14ac:dyDescent="0.2">
      <c r="A1703" s="32"/>
    </row>
    <row r="1704" spans="1:7" x14ac:dyDescent="0.2">
      <c r="A1704" s="32" t="s">
        <v>1665</v>
      </c>
      <c r="C1704" s="91" t="s">
        <v>1659</v>
      </c>
      <c r="G1704" s="84" t="s">
        <v>1666</v>
      </c>
    </row>
    <row r="1705" spans="1:7" x14ac:dyDescent="0.2">
      <c r="A1705" s="32"/>
    </row>
    <row r="1706" spans="1:7" x14ac:dyDescent="0.2">
      <c r="A1706" s="32"/>
    </row>
    <row r="1707" spans="1:7" x14ac:dyDescent="0.2">
      <c r="A1707" s="32" t="s">
        <v>1667</v>
      </c>
      <c r="C1707" s="91" t="s">
        <v>1659</v>
      </c>
      <c r="G1707" s="84" t="s">
        <v>1668</v>
      </c>
    </row>
  </sheetData>
  <sheetProtection selectLockedCells="1" selectUnlockedCells="1"/>
  <mergeCells count="1">
    <mergeCell ref="A1:K6"/>
  </mergeCells>
  <phoneticPr fontId="0" type="noConversion"/>
  <conditionalFormatting sqref="A610:A612">
    <cfRule type="duplicateValues" dxfId="4" priority="5" stopIfTrue="1"/>
  </conditionalFormatting>
  <conditionalFormatting sqref="A843">
    <cfRule type="duplicateValues" dxfId="3" priority="3" stopIfTrue="1"/>
  </conditionalFormatting>
  <conditionalFormatting sqref="F612">
    <cfRule type="duplicateValues" dxfId="2" priority="6" stopIfTrue="1"/>
  </conditionalFormatting>
  <conditionalFormatting sqref="F843">
    <cfRule type="duplicateValues" dxfId="1" priority="7" stopIfTrue="1"/>
  </conditionalFormatting>
  <conditionalFormatting sqref="F613:F614">
    <cfRule type="duplicateValues" dxfId="0" priority="8" stopIfTrue="1"/>
  </conditionalFormatting>
  <pageMargins left="3.937007874015748E-2" right="3.937007874015748E-2" top="0.27559055118110237" bottom="0.19685039370078741" header="0.31496062992125984" footer="0.31496062992125984"/>
  <pageSetup paperSize="9" scale="68" firstPageNumber="0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инвентаризация</vt:lpstr>
      <vt:lpstr>инвентаризация!Область_печати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Щусь Мария Владимировна</cp:lastModifiedBy>
  <cp:lastPrinted>2018-10-23T13:12:22Z</cp:lastPrinted>
  <dcterms:created xsi:type="dcterms:W3CDTF">2012-02-13T09:39:08Z</dcterms:created>
  <dcterms:modified xsi:type="dcterms:W3CDTF">2018-10-23T13:13:24Z</dcterms:modified>
</cp:coreProperties>
</file>