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workbookProtection workbookPassword="D27F" lockStructure="1"/>
  <bookViews>
    <workbookView xWindow="7845" yWindow="-75" windowWidth="23100" windowHeight="12360"/>
  </bookViews>
  <sheets>
    <sheet name="инвентаризация" sheetId="1" r:id="rId1"/>
  </sheets>
  <definedNames>
    <definedName name="_xlnm._FilterDatabase" localSheetId="0" hidden="1">инвентаризация!$A$8:$AO$8</definedName>
    <definedName name="_xlnm.Print_Area" localSheetId="0">инвентаризация!$B$1:$L$1728</definedName>
  </definedNames>
  <calcPr calcId="145621"/>
</workbook>
</file>

<file path=xl/calcChain.xml><?xml version="1.0" encoding="utf-8"?>
<calcChain xmlns="http://schemas.openxmlformats.org/spreadsheetml/2006/main">
  <c r="I362" i="1" l="1"/>
  <c r="J362" i="1" s="1"/>
  <c r="I363" i="1"/>
  <c r="J363" i="1" s="1"/>
  <c r="I364" i="1"/>
  <c r="J364" i="1" s="1"/>
  <c r="I365" i="1"/>
  <c r="J365" i="1" s="1"/>
  <c r="I366" i="1"/>
  <c r="J366" i="1" s="1"/>
  <c r="I367" i="1"/>
  <c r="J367" i="1" s="1"/>
  <c r="I368" i="1"/>
  <c r="J368" i="1" s="1"/>
  <c r="I361" i="1"/>
  <c r="J361" i="1" s="1"/>
  <c r="H173" i="1"/>
  <c r="F490" i="1"/>
  <c r="G490" i="1"/>
  <c r="H490" i="1"/>
  <c r="F552" i="1"/>
  <c r="G552" i="1"/>
  <c r="H552" i="1"/>
  <c r="F711" i="1"/>
  <c r="G711" i="1"/>
  <c r="H711" i="1"/>
  <c r="F717" i="1"/>
  <c r="G717" i="1"/>
  <c r="H717" i="1"/>
  <c r="F912" i="1"/>
  <c r="G912" i="1"/>
  <c r="H912" i="1"/>
  <c r="F1015" i="1"/>
  <c r="G1015" i="1"/>
  <c r="H1015" i="1"/>
  <c r="J1774" i="1"/>
  <c r="H1774" i="1"/>
  <c r="F1774" i="1"/>
  <c r="G1773" i="1"/>
  <c r="G1774" i="1" s="1"/>
  <c r="I173" i="1"/>
  <c r="F1769" i="1"/>
  <c r="H1769" i="1"/>
  <c r="I1768" i="1"/>
  <c r="G1767" i="1"/>
  <c r="I1767" i="1" s="1"/>
  <c r="G1766" i="1"/>
  <c r="I1766" i="1" s="1"/>
  <c r="I1765" i="1"/>
  <c r="G1764" i="1"/>
  <c r="I1764" i="1" s="1"/>
  <c r="G1763" i="1"/>
  <c r="I1763" i="1" s="1"/>
  <c r="I1762" i="1"/>
  <c r="I1761" i="1"/>
  <c r="G1760" i="1"/>
  <c r="I1760" i="1" s="1"/>
  <c r="G1759" i="1"/>
  <c r="I1759" i="1" s="1"/>
  <c r="I1758" i="1"/>
  <c r="I1757" i="1"/>
  <c r="I1756" i="1"/>
  <c r="I1755" i="1"/>
  <c r="I1754" i="1"/>
  <c r="G1753" i="1"/>
  <c r="I1753" i="1" s="1"/>
  <c r="G1752" i="1"/>
  <c r="I1752" i="1" s="1"/>
  <c r="I1751" i="1"/>
  <c r="I1750" i="1"/>
  <c r="G1749" i="1"/>
  <c r="I1749" i="1" s="1"/>
  <c r="G1748" i="1"/>
  <c r="I1748" i="1" s="1"/>
  <c r="I1747" i="1"/>
  <c r="I1746" i="1"/>
  <c r="I1745" i="1"/>
  <c r="I1744" i="1"/>
  <c r="J1744" i="1" s="1"/>
  <c r="J1769" i="1" s="1"/>
  <c r="I1743" i="1"/>
  <c r="I1742" i="1"/>
  <c r="G1741" i="1"/>
  <c r="I1741" i="1" s="1"/>
  <c r="I1740" i="1"/>
  <c r="G1739" i="1"/>
  <c r="I1739" i="1" s="1"/>
  <c r="G1738" i="1"/>
  <c r="I1738" i="1" s="1"/>
  <c r="I1737" i="1"/>
  <c r="G1736" i="1"/>
  <c r="I1736" i="1" s="1"/>
  <c r="G1735" i="1"/>
  <c r="I1735" i="1" s="1"/>
  <c r="G1734" i="1"/>
  <c r="I1734" i="1" s="1"/>
  <c r="G1733" i="1"/>
  <c r="I1733" i="1" s="1"/>
  <c r="I1732" i="1"/>
  <c r="I1731" i="1"/>
  <c r="I1730" i="1"/>
  <c r="I1729" i="1"/>
  <c r="I1728" i="1"/>
  <c r="I1727" i="1"/>
  <c r="G1726" i="1"/>
  <c r="I1726" i="1" s="1"/>
  <c r="I1725" i="1"/>
  <c r="I1724" i="1"/>
  <c r="I1723" i="1"/>
  <c r="I1722" i="1"/>
  <c r="G1721" i="1"/>
  <c r="I1721" i="1" s="1"/>
  <c r="G1720" i="1"/>
  <c r="I1720" i="1" s="1"/>
  <c r="G1719" i="1"/>
  <c r="I1719" i="1" s="1"/>
  <c r="I1718" i="1"/>
  <c r="I1717" i="1"/>
  <c r="I1716" i="1"/>
  <c r="I1715" i="1"/>
  <c r="I1714" i="1"/>
  <c r="G1713" i="1"/>
  <c r="I1713" i="1" s="1"/>
  <c r="I1712" i="1"/>
  <c r="I1711" i="1"/>
  <c r="G1710" i="1"/>
  <c r="I1710" i="1" s="1"/>
  <c r="I1709" i="1"/>
  <c r="I1708" i="1"/>
  <c r="I1707" i="1"/>
  <c r="G1706" i="1"/>
  <c r="I1706" i="1" s="1"/>
  <c r="I1705" i="1"/>
  <c r="G1704" i="1"/>
  <c r="I1704" i="1" s="1"/>
  <c r="G1703" i="1"/>
  <c r="I1703" i="1" s="1"/>
  <c r="G1702" i="1"/>
  <c r="I1702" i="1" s="1"/>
  <c r="G1701" i="1"/>
  <c r="I1701" i="1" s="1"/>
  <c r="G1700" i="1"/>
  <c r="I1700" i="1" s="1"/>
  <c r="I1699" i="1"/>
  <c r="I1698" i="1"/>
  <c r="I1697" i="1"/>
  <c r="I1696" i="1"/>
  <c r="I1695" i="1"/>
  <c r="I1694" i="1"/>
  <c r="G1693" i="1"/>
  <c r="I1693" i="1" s="1"/>
  <c r="G1692" i="1"/>
  <c r="I1692" i="1" s="1"/>
  <c r="G1691" i="1"/>
  <c r="I1691" i="1" s="1"/>
  <c r="I1690" i="1"/>
  <c r="I1689" i="1"/>
  <c r="G1688" i="1"/>
  <c r="I1688" i="1" s="1"/>
  <c r="G1687" i="1"/>
  <c r="I1687" i="1" s="1"/>
  <c r="G1686" i="1"/>
  <c r="I1686" i="1" s="1"/>
  <c r="I1685" i="1"/>
  <c r="I1684" i="1"/>
  <c r="I1683" i="1"/>
  <c r="I1682" i="1"/>
  <c r="G1681" i="1"/>
  <c r="I1681" i="1" s="1"/>
  <c r="I1680" i="1"/>
  <c r="I1679" i="1"/>
  <c r="I1678" i="1"/>
  <c r="I1677" i="1"/>
  <c r="I1676" i="1"/>
  <c r="G1675" i="1"/>
  <c r="I1675" i="1" s="1"/>
  <c r="I1674" i="1"/>
  <c r="G1673" i="1"/>
  <c r="I1673" i="1" s="1"/>
  <c r="G1672" i="1"/>
  <c r="I1672" i="1" s="1"/>
  <c r="I1671" i="1"/>
  <c r="I1670" i="1"/>
  <c r="I1669" i="1"/>
  <c r="I1668" i="1"/>
  <c r="I1667" i="1"/>
  <c r="I1666" i="1"/>
  <c r="G1665" i="1"/>
  <c r="I1665" i="1" s="1"/>
  <c r="G1664" i="1"/>
  <c r="I1664" i="1" s="1"/>
  <c r="G1663" i="1"/>
  <c r="I1663" i="1" s="1"/>
  <c r="I1662" i="1"/>
  <c r="I1661" i="1"/>
  <c r="G1660" i="1"/>
  <c r="I1660" i="1" s="1"/>
  <c r="G1659" i="1"/>
  <c r="I1659" i="1" s="1"/>
  <c r="I1658" i="1"/>
  <c r="I1657" i="1"/>
  <c r="I1656" i="1"/>
  <c r="I1655" i="1"/>
  <c r="G1654" i="1"/>
  <c r="I1654" i="1" s="1"/>
  <c r="I1653" i="1"/>
  <c r="I1652" i="1"/>
  <c r="I1651" i="1"/>
  <c r="I1650" i="1"/>
  <c r="I1773" i="1" l="1"/>
  <c r="G1769" i="1"/>
  <c r="I1769" i="1" s="1"/>
  <c r="I1774" i="1" l="1"/>
  <c r="L1773" i="1"/>
  <c r="K1773" i="1"/>
  <c r="G1026" i="1"/>
  <c r="G1647" i="1" l="1"/>
  <c r="H1647" i="1"/>
  <c r="F1647" i="1"/>
  <c r="I1646" i="1"/>
  <c r="J1646" i="1" s="1"/>
  <c r="I1645" i="1"/>
  <c r="J1645" i="1" s="1"/>
  <c r="I1644" i="1"/>
  <c r="J1644" i="1" s="1"/>
  <c r="I1643" i="1"/>
  <c r="J1643" i="1" s="1"/>
  <c r="I1642" i="1"/>
  <c r="J1642" i="1" s="1"/>
  <c r="I1641" i="1"/>
  <c r="J1641" i="1" s="1"/>
  <c r="I1640" i="1"/>
  <c r="J1640" i="1" s="1"/>
  <c r="I1639" i="1"/>
  <c r="J1639" i="1" s="1"/>
  <c r="I1638" i="1"/>
  <c r="J1638" i="1" s="1"/>
  <c r="I1637" i="1"/>
  <c r="J1637" i="1" s="1"/>
  <c r="I1636" i="1"/>
  <c r="J1636" i="1" s="1"/>
  <c r="I1635" i="1"/>
  <c r="J1635" i="1" s="1"/>
  <c r="I1634" i="1"/>
  <c r="J1634" i="1" s="1"/>
  <c r="I1633" i="1"/>
  <c r="J1633" i="1" s="1"/>
  <c r="I1632" i="1"/>
  <c r="J1632" i="1" s="1"/>
  <c r="I1631" i="1"/>
  <c r="J1631" i="1" s="1"/>
  <c r="I1630" i="1"/>
  <c r="J1630" i="1" s="1"/>
  <c r="I1629" i="1"/>
  <c r="J1629" i="1" s="1"/>
  <c r="I1628" i="1"/>
  <c r="J1628" i="1" s="1"/>
  <c r="I1627" i="1"/>
  <c r="J1627" i="1" s="1"/>
  <c r="I1626" i="1"/>
  <c r="J1626" i="1" s="1"/>
  <c r="I1625" i="1"/>
  <c r="J1625" i="1" s="1"/>
  <c r="I1624" i="1"/>
  <c r="J1624" i="1" s="1"/>
  <c r="I1623" i="1"/>
  <c r="J1623" i="1" s="1"/>
  <c r="I1622" i="1"/>
  <c r="J1622" i="1" s="1"/>
  <c r="I1621" i="1"/>
  <c r="J1621" i="1" s="1"/>
  <c r="I1620" i="1"/>
  <c r="J1620" i="1" s="1"/>
  <c r="I1619" i="1"/>
  <c r="J1619" i="1" s="1"/>
  <c r="I1618" i="1"/>
  <c r="J1618" i="1" s="1"/>
  <c r="I1617" i="1"/>
  <c r="J1617" i="1" s="1"/>
  <c r="I1616" i="1"/>
  <c r="J1616" i="1" s="1"/>
  <c r="I1615" i="1"/>
  <c r="J1615" i="1" s="1"/>
  <c r="I1614" i="1"/>
  <c r="J1614" i="1" s="1"/>
  <c r="I1613" i="1"/>
  <c r="J1613" i="1" s="1"/>
  <c r="I1612" i="1"/>
  <c r="J1612" i="1" s="1"/>
  <c r="I1611" i="1"/>
  <c r="J1611" i="1" s="1"/>
  <c r="I1610" i="1"/>
  <c r="J1610" i="1" s="1"/>
  <c r="I1609" i="1"/>
  <c r="J1609" i="1" s="1"/>
  <c r="I1608" i="1"/>
  <c r="J1608" i="1" s="1"/>
  <c r="I1607" i="1"/>
  <c r="J1607" i="1" s="1"/>
  <c r="I1606" i="1"/>
  <c r="J1606" i="1" s="1"/>
  <c r="I1605" i="1"/>
  <c r="J1605" i="1" s="1"/>
  <c r="I1604" i="1"/>
  <c r="J1604" i="1" s="1"/>
  <c r="I1603" i="1"/>
  <c r="J1603" i="1" s="1"/>
  <c r="I1602" i="1"/>
  <c r="J1602" i="1" s="1"/>
  <c r="I1601" i="1"/>
  <c r="J1601" i="1" s="1"/>
  <c r="I1600" i="1"/>
  <c r="J1600" i="1" s="1"/>
  <c r="I1599" i="1"/>
  <c r="J1599" i="1" s="1"/>
  <c r="I1598" i="1"/>
  <c r="J1598" i="1" s="1"/>
  <c r="I1597" i="1"/>
  <c r="J1597" i="1" s="1"/>
  <c r="I1596" i="1"/>
  <c r="J1596" i="1" s="1"/>
  <c r="I1595" i="1"/>
  <c r="J1595" i="1" s="1"/>
  <c r="I1594" i="1"/>
  <c r="J1594" i="1" s="1"/>
  <c r="I1593" i="1"/>
  <c r="J1593" i="1" s="1"/>
  <c r="I1592" i="1"/>
  <c r="J1592" i="1" s="1"/>
  <c r="I1591" i="1"/>
  <c r="J1591" i="1" s="1"/>
  <c r="I1590" i="1"/>
  <c r="J1590" i="1" s="1"/>
  <c r="I1589" i="1"/>
  <c r="J1589" i="1" s="1"/>
  <c r="I1588" i="1"/>
  <c r="J1588" i="1" s="1"/>
  <c r="I1587" i="1"/>
  <c r="J1587" i="1" s="1"/>
  <c r="I1586" i="1"/>
  <c r="J1586" i="1" s="1"/>
  <c r="I1585" i="1"/>
  <c r="J1585" i="1" s="1"/>
  <c r="I1584" i="1"/>
  <c r="J1584" i="1" s="1"/>
  <c r="I1583" i="1"/>
  <c r="J1583" i="1" s="1"/>
  <c r="I1582" i="1"/>
  <c r="J1582" i="1" s="1"/>
  <c r="I1581" i="1"/>
  <c r="J1581" i="1" s="1"/>
  <c r="I1580" i="1"/>
  <c r="J1580" i="1" s="1"/>
  <c r="I1579" i="1"/>
  <c r="J1579" i="1" s="1"/>
  <c r="I1578" i="1"/>
  <c r="J1578" i="1" s="1"/>
  <c r="I1577" i="1"/>
  <c r="J1577" i="1" s="1"/>
  <c r="I1576" i="1"/>
  <c r="J1576" i="1" s="1"/>
  <c r="I1575" i="1"/>
  <c r="J1575" i="1" s="1"/>
  <c r="I1574" i="1"/>
  <c r="J1574" i="1" s="1"/>
  <c r="I1573" i="1"/>
  <c r="J1573" i="1" s="1"/>
  <c r="I1572" i="1"/>
  <c r="J1572" i="1" s="1"/>
  <c r="I1571" i="1"/>
  <c r="J1571" i="1" s="1"/>
  <c r="I1570" i="1"/>
  <c r="J1570" i="1" s="1"/>
  <c r="I1569" i="1"/>
  <c r="J1569" i="1" s="1"/>
  <c r="I1568" i="1"/>
  <c r="J1568" i="1" s="1"/>
  <c r="I1567" i="1"/>
  <c r="J1567" i="1" s="1"/>
  <c r="I1566" i="1"/>
  <c r="J1566" i="1" s="1"/>
  <c r="I1565" i="1"/>
  <c r="J1565" i="1" s="1"/>
  <c r="I1564" i="1"/>
  <c r="J1564" i="1" s="1"/>
  <c r="I1563" i="1"/>
  <c r="J1563" i="1" s="1"/>
  <c r="I1562" i="1"/>
  <c r="J1562" i="1" s="1"/>
  <c r="I1561" i="1"/>
  <c r="J1561" i="1" s="1"/>
  <c r="I1560" i="1"/>
  <c r="J1560" i="1" s="1"/>
  <c r="I1559" i="1"/>
  <c r="J1559" i="1" s="1"/>
  <c r="I1558" i="1"/>
  <c r="J1558" i="1" s="1"/>
  <c r="I1557" i="1"/>
  <c r="J1557" i="1" s="1"/>
  <c r="I1556" i="1"/>
  <c r="J1556" i="1" s="1"/>
  <c r="I1555" i="1"/>
  <c r="J1555" i="1" s="1"/>
  <c r="I1554" i="1"/>
  <c r="J1554" i="1" s="1"/>
  <c r="I1553" i="1"/>
  <c r="J1553" i="1" s="1"/>
  <c r="I1552" i="1"/>
  <c r="J1552" i="1" s="1"/>
  <c r="I1551" i="1"/>
  <c r="J1551" i="1" s="1"/>
  <c r="I1550" i="1"/>
  <c r="J1550" i="1" s="1"/>
  <c r="I1549" i="1"/>
  <c r="J1549" i="1" s="1"/>
  <c r="I1548" i="1"/>
  <c r="J1548" i="1" s="1"/>
  <c r="I1547" i="1"/>
  <c r="J1547" i="1" s="1"/>
  <c r="I1546" i="1"/>
  <c r="J1546" i="1" s="1"/>
  <c r="I1545" i="1"/>
  <c r="J1545" i="1" s="1"/>
  <c r="I1544" i="1"/>
  <c r="J1544" i="1" s="1"/>
  <c r="I1543" i="1"/>
  <c r="J1543" i="1" s="1"/>
  <c r="I1542" i="1"/>
  <c r="J1542" i="1" s="1"/>
  <c r="I1541" i="1"/>
  <c r="J1541" i="1" s="1"/>
  <c r="I1540" i="1"/>
  <c r="J1540" i="1" s="1"/>
  <c r="I1539" i="1"/>
  <c r="J1539" i="1" s="1"/>
  <c r="I1538" i="1"/>
  <c r="J1538" i="1" s="1"/>
  <c r="I1537" i="1"/>
  <c r="J1537" i="1" s="1"/>
  <c r="I1536" i="1"/>
  <c r="J1536" i="1" s="1"/>
  <c r="I1535" i="1"/>
  <c r="J1535" i="1" s="1"/>
  <c r="I1534" i="1"/>
  <c r="J1534" i="1" s="1"/>
  <c r="I1533" i="1"/>
  <c r="J1533" i="1" s="1"/>
  <c r="I1532" i="1"/>
  <c r="J1532" i="1" s="1"/>
  <c r="I1531" i="1"/>
  <c r="J1531" i="1" s="1"/>
  <c r="I1530" i="1"/>
  <c r="J1530" i="1" s="1"/>
  <c r="I1529" i="1"/>
  <c r="J1529" i="1" s="1"/>
  <c r="I1528" i="1"/>
  <c r="J1528" i="1" s="1"/>
  <c r="I1527" i="1"/>
  <c r="J1527" i="1" s="1"/>
  <c r="I1526" i="1"/>
  <c r="J1526" i="1" s="1"/>
  <c r="I1525" i="1"/>
  <c r="J1525" i="1" s="1"/>
  <c r="I1524" i="1"/>
  <c r="J1524" i="1" s="1"/>
  <c r="I1523" i="1"/>
  <c r="J1523" i="1" s="1"/>
  <c r="I1522" i="1"/>
  <c r="J1522" i="1" s="1"/>
  <c r="I1521" i="1"/>
  <c r="J1521" i="1" s="1"/>
  <c r="I1520" i="1"/>
  <c r="J1520" i="1" s="1"/>
  <c r="I1519" i="1"/>
  <c r="J1519" i="1" s="1"/>
  <c r="I1518" i="1"/>
  <c r="J1518" i="1" s="1"/>
  <c r="I1517" i="1"/>
  <c r="J1517" i="1" s="1"/>
  <c r="I1516" i="1"/>
  <c r="J1516" i="1" s="1"/>
  <c r="I1515" i="1"/>
  <c r="J1515" i="1" s="1"/>
  <c r="I1514" i="1"/>
  <c r="J1514" i="1" s="1"/>
  <c r="I1513" i="1"/>
  <c r="J1513" i="1" s="1"/>
  <c r="I1512" i="1"/>
  <c r="J1512" i="1" s="1"/>
  <c r="I1511" i="1"/>
  <c r="J1511" i="1" s="1"/>
  <c r="I1510" i="1"/>
  <c r="J1510" i="1" s="1"/>
  <c r="I1509" i="1"/>
  <c r="J1509" i="1" s="1"/>
  <c r="I1508" i="1"/>
  <c r="J1508" i="1" s="1"/>
  <c r="I1507" i="1"/>
  <c r="J1507" i="1" s="1"/>
  <c r="I1506" i="1"/>
  <c r="J1506" i="1" s="1"/>
  <c r="I1505" i="1"/>
  <c r="J1505" i="1" s="1"/>
  <c r="I1504" i="1"/>
  <c r="J1504" i="1" s="1"/>
  <c r="I1503" i="1"/>
  <c r="J1503" i="1" s="1"/>
  <c r="I1502" i="1"/>
  <c r="J1502" i="1" s="1"/>
  <c r="I1501" i="1"/>
  <c r="J1501" i="1" s="1"/>
  <c r="I1500" i="1"/>
  <c r="J1500" i="1" s="1"/>
  <c r="I1499" i="1"/>
  <c r="J1499" i="1" s="1"/>
  <c r="I1498" i="1"/>
  <c r="J1498" i="1" s="1"/>
  <c r="I1497" i="1"/>
  <c r="J1497" i="1" s="1"/>
  <c r="I1496" i="1"/>
  <c r="J1496" i="1" s="1"/>
  <c r="I1495" i="1"/>
  <c r="J1495" i="1" s="1"/>
  <c r="I1494" i="1"/>
  <c r="J1494" i="1" s="1"/>
  <c r="I1493" i="1"/>
  <c r="J1493" i="1" s="1"/>
  <c r="I1492" i="1"/>
  <c r="J1492" i="1" s="1"/>
  <c r="I1491" i="1"/>
  <c r="J1491" i="1" s="1"/>
  <c r="I1490" i="1"/>
  <c r="J1490" i="1" s="1"/>
  <c r="I1489" i="1"/>
  <c r="J1489" i="1" s="1"/>
  <c r="I1488" i="1"/>
  <c r="J1488" i="1" s="1"/>
  <c r="I1487" i="1"/>
  <c r="J1487" i="1" s="1"/>
  <c r="I1486" i="1"/>
  <c r="J1486" i="1" s="1"/>
  <c r="I1485" i="1"/>
  <c r="J1485" i="1" s="1"/>
  <c r="I1484" i="1"/>
  <c r="J1484" i="1" s="1"/>
  <c r="I1483" i="1"/>
  <c r="J1483" i="1" s="1"/>
  <c r="I1482" i="1"/>
  <c r="J1482" i="1" s="1"/>
  <c r="I1481" i="1"/>
  <c r="J1481" i="1" s="1"/>
  <c r="I1480" i="1"/>
  <c r="J1480" i="1" s="1"/>
  <c r="I1479" i="1"/>
  <c r="J1479" i="1" s="1"/>
  <c r="I1478" i="1"/>
  <c r="J1478" i="1" s="1"/>
  <c r="I1477" i="1"/>
  <c r="J1477" i="1" s="1"/>
  <c r="I1476" i="1"/>
  <c r="J1476" i="1" s="1"/>
  <c r="I1475" i="1"/>
  <c r="J1475" i="1" s="1"/>
  <c r="I1474" i="1"/>
  <c r="J1474" i="1" s="1"/>
  <c r="I1473" i="1"/>
  <c r="J1473" i="1" s="1"/>
  <c r="I1472" i="1"/>
  <c r="J1472" i="1" s="1"/>
  <c r="I1471" i="1"/>
  <c r="J1471" i="1" s="1"/>
  <c r="I1470" i="1"/>
  <c r="J1470" i="1" s="1"/>
  <c r="I1469" i="1"/>
  <c r="J1469" i="1" s="1"/>
  <c r="I1468" i="1"/>
  <c r="J1468" i="1" s="1"/>
  <c r="I1467" i="1"/>
  <c r="J1467" i="1" s="1"/>
  <c r="I1466" i="1"/>
  <c r="J1466" i="1" s="1"/>
  <c r="I1465" i="1"/>
  <c r="J1465" i="1" s="1"/>
  <c r="I1464" i="1"/>
  <c r="J1464" i="1" s="1"/>
  <c r="I1463" i="1"/>
  <c r="J1463" i="1" s="1"/>
  <c r="I1462" i="1"/>
  <c r="J1462" i="1" s="1"/>
  <c r="I1461" i="1"/>
  <c r="J1461" i="1" s="1"/>
  <c r="I1460" i="1"/>
  <c r="J1460" i="1" s="1"/>
  <c r="I1459" i="1"/>
  <c r="J1459" i="1" s="1"/>
  <c r="I1458" i="1"/>
  <c r="J1458" i="1" s="1"/>
  <c r="I1457" i="1"/>
  <c r="J1457" i="1" s="1"/>
  <c r="I1456" i="1"/>
  <c r="J1456" i="1" s="1"/>
  <c r="I1455" i="1"/>
  <c r="J1455" i="1" s="1"/>
  <c r="I1454" i="1"/>
  <c r="J1454" i="1" s="1"/>
  <c r="I1453" i="1"/>
  <c r="J1453" i="1" s="1"/>
  <c r="I1452" i="1"/>
  <c r="J1452" i="1" s="1"/>
  <c r="I1451" i="1"/>
  <c r="J1451" i="1" s="1"/>
  <c r="I1450" i="1"/>
  <c r="J1450" i="1" s="1"/>
  <c r="I1449" i="1"/>
  <c r="J1449" i="1" s="1"/>
  <c r="I1448" i="1"/>
  <c r="J1448" i="1" s="1"/>
  <c r="I1447" i="1"/>
  <c r="J1447" i="1" s="1"/>
  <c r="I1446" i="1"/>
  <c r="J1446" i="1" s="1"/>
  <c r="I1445" i="1"/>
  <c r="J1445" i="1" s="1"/>
  <c r="I1444" i="1"/>
  <c r="J1444" i="1" s="1"/>
  <c r="I1443" i="1"/>
  <c r="J1443" i="1" s="1"/>
  <c r="I1442" i="1"/>
  <c r="J1442" i="1" s="1"/>
  <c r="I1441" i="1"/>
  <c r="J1441" i="1" s="1"/>
  <c r="I1440" i="1"/>
  <c r="J1440" i="1" s="1"/>
  <c r="I1439" i="1"/>
  <c r="J1439" i="1" s="1"/>
  <c r="I1438" i="1"/>
  <c r="J1438" i="1" s="1"/>
  <c r="I1437" i="1"/>
  <c r="J1437" i="1" s="1"/>
  <c r="I1436" i="1"/>
  <c r="J1436" i="1" s="1"/>
  <c r="I1435" i="1"/>
  <c r="J1435" i="1" s="1"/>
  <c r="I1434" i="1"/>
  <c r="J1434" i="1" s="1"/>
  <c r="I1433" i="1"/>
  <c r="J1433" i="1" s="1"/>
  <c r="I1432" i="1"/>
  <c r="J1432" i="1" s="1"/>
  <c r="I1431" i="1"/>
  <c r="J1431" i="1" s="1"/>
  <c r="I1430" i="1"/>
  <c r="J1430" i="1" s="1"/>
  <c r="I1429" i="1"/>
  <c r="J1429" i="1" s="1"/>
  <c r="I1428" i="1"/>
  <c r="J1428" i="1" s="1"/>
  <c r="I1427" i="1"/>
  <c r="J1427" i="1" s="1"/>
  <c r="I1426" i="1"/>
  <c r="J1426" i="1" s="1"/>
  <c r="I1425" i="1"/>
  <c r="J1425" i="1" s="1"/>
  <c r="I1424" i="1"/>
  <c r="J1424" i="1" s="1"/>
  <c r="I1423" i="1"/>
  <c r="J1423" i="1" s="1"/>
  <c r="I1422" i="1"/>
  <c r="J1422" i="1" s="1"/>
  <c r="I1421" i="1"/>
  <c r="J1421" i="1" s="1"/>
  <c r="I1420" i="1"/>
  <c r="J1420" i="1" s="1"/>
  <c r="I1419" i="1"/>
  <c r="J1419" i="1" s="1"/>
  <c r="I1418" i="1"/>
  <c r="J1418" i="1" s="1"/>
  <c r="I1417" i="1"/>
  <c r="J1417" i="1" s="1"/>
  <c r="I1416" i="1"/>
  <c r="J1416" i="1" s="1"/>
  <c r="I1415" i="1"/>
  <c r="J1415" i="1" s="1"/>
  <c r="I1414" i="1"/>
  <c r="J1414" i="1" s="1"/>
  <c r="I1413" i="1"/>
  <c r="J1413" i="1" s="1"/>
  <c r="I1412" i="1"/>
  <c r="J1412" i="1" s="1"/>
  <c r="I1411" i="1"/>
  <c r="J1411" i="1" s="1"/>
  <c r="I1410" i="1"/>
  <c r="J1410" i="1" s="1"/>
  <c r="I1409" i="1"/>
  <c r="J1409" i="1" s="1"/>
  <c r="I1408" i="1"/>
  <c r="J1408" i="1" s="1"/>
  <c r="I1407" i="1"/>
  <c r="J1407" i="1" s="1"/>
  <c r="I1406" i="1"/>
  <c r="J1406" i="1" s="1"/>
  <c r="I1405" i="1"/>
  <c r="J1405" i="1" s="1"/>
  <c r="I1404" i="1"/>
  <c r="J1404" i="1" s="1"/>
  <c r="I1403" i="1"/>
  <c r="J1403" i="1" s="1"/>
  <c r="I1402" i="1"/>
  <c r="J1402" i="1" s="1"/>
  <c r="I1401" i="1"/>
  <c r="J1401" i="1" s="1"/>
  <c r="I1400" i="1"/>
  <c r="J1400" i="1" s="1"/>
  <c r="I1399" i="1"/>
  <c r="J1399" i="1" s="1"/>
  <c r="I1398" i="1"/>
  <c r="J1398" i="1" s="1"/>
  <c r="I1397" i="1"/>
  <c r="J1397" i="1" s="1"/>
  <c r="I1396" i="1"/>
  <c r="J1396" i="1" s="1"/>
  <c r="I1395" i="1"/>
  <c r="J1395" i="1" s="1"/>
  <c r="I1394" i="1"/>
  <c r="J1394" i="1" s="1"/>
  <c r="I1393" i="1"/>
  <c r="J1393" i="1" s="1"/>
  <c r="I1392" i="1"/>
  <c r="J1392" i="1" s="1"/>
  <c r="I1391" i="1"/>
  <c r="J1391" i="1" s="1"/>
  <c r="I1390" i="1"/>
  <c r="J1390" i="1" s="1"/>
  <c r="I1389" i="1"/>
  <c r="J1389" i="1" s="1"/>
  <c r="I1388" i="1"/>
  <c r="J1388" i="1" s="1"/>
  <c r="I1387" i="1"/>
  <c r="J1387" i="1" s="1"/>
  <c r="I1386" i="1"/>
  <c r="J1386" i="1" s="1"/>
  <c r="I1385" i="1"/>
  <c r="J1385" i="1" s="1"/>
  <c r="I1384" i="1"/>
  <c r="J1384" i="1" s="1"/>
  <c r="I1383" i="1"/>
  <c r="J1383" i="1" s="1"/>
  <c r="I1382" i="1"/>
  <c r="J1382" i="1" s="1"/>
  <c r="I1381" i="1"/>
  <c r="J1381" i="1" s="1"/>
  <c r="I1380" i="1"/>
  <c r="J1380" i="1" s="1"/>
  <c r="I1379" i="1"/>
  <c r="J1379" i="1" s="1"/>
  <c r="I1378" i="1"/>
  <c r="J1378" i="1" s="1"/>
  <c r="I1377" i="1"/>
  <c r="J1377" i="1" s="1"/>
  <c r="I1376" i="1"/>
  <c r="J1376" i="1" s="1"/>
  <c r="I1375" i="1"/>
  <c r="J1375" i="1" s="1"/>
  <c r="I1374" i="1"/>
  <c r="J1374" i="1" s="1"/>
  <c r="I1373" i="1"/>
  <c r="J1373" i="1" s="1"/>
  <c r="I1372" i="1"/>
  <c r="J1372" i="1" s="1"/>
  <c r="I1371" i="1"/>
  <c r="J1371" i="1" s="1"/>
  <c r="I1370" i="1"/>
  <c r="J1370" i="1" s="1"/>
  <c r="I1369" i="1"/>
  <c r="J1369" i="1" s="1"/>
  <c r="I1368" i="1"/>
  <c r="J1368" i="1" s="1"/>
  <c r="I1367" i="1"/>
  <c r="J1367" i="1" s="1"/>
  <c r="I1366" i="1"/>
  <c r="J1366" i="1" s="1"/>
  <c r="I1365" i="1"/>
  <c r="J1365" i="1" s="1"/>
  <c r="I1364" i="1"/>
  <c r="J1364" i="1" s="1"/>
  <c r="I1363" i="1"/>
  <c r="J1363" i="1" s="1"/>
  <c r="I1362" i="1"/>
  <c r="J1362" i="1" s="1"/>
  <c r="I1361" i="1"/>
  <c r="J1361" i="1" s="1"/>
  <c r="I1360" i="1"/>
  <c r="J1360" i="1" s="1"/>
  <c r="I1359" i="1"/>
  <c r="J1359" i="1" s="1"/>
  <c r="I1358" i="1"/>
  <c r="J1358" i="1" s="1"/>
  <c r="I1357" i="1"/>
  <c r="J1357" i="1" s="1"/>
  <c r="I1356" i="1"/>
  <c r="J1356" i="1" s="1"/>
  <c r="I1355" i="1"/>
  <c r="J1355" i="1" s="1"/>
  <c r="I1354" i="1"/>
  <c r="J1354" i="1" s="1"/>
  <c r="I1353" i="1"/>
  <c r="J1353" i="1" s="1"/>
  <c r="I1352" i="1"/>
  <c r="J1352" i="1" s="1"/>
  <c r="I1351" i="1"/>
  <c r="J1351" i="1" s="1"/>
  <c r="I1350" i="1"/>
  <c r="J1350" i="1" s="1"/>
  <c r="I1349" i="1"/>
  <c r="J1349" i="1" s="1"/>
  <c r="I1348" i="1"/>
  <c r="J1348" i="1" s="1"/>
  <c r="I1347" i="1"/>
  <c r="J1347" i="1" s="1"/>
  <c r="I1346" i="1"/>
  <c r="J1346" i="1" s="1"/>
  <c r="I1345" i="1"/>
  <c r="J1345" i="1" s="1"/>
  <c r="I1344" i="1"/>
  <c r="J1344" i="1" s="1"/>
  <c r="I1343" i="1"/>
  <c r="J1343" i="1" s="1"/>
  <c r="I1342" i="1"/>
  <c r="J1342" i="1" s="1"/>
  <c r="I1341" i="1"/>
  <c r="J1341" i="1" s="1"/>
  <c r="I1340" i="1"/>
  <c r="J1340" i="1" s="1"/>
  <c r="I1339" i="1"/>
  <c r="J1339" i="1" s="1"/>
  <c r="I1338" i="1"/>
  <c r="J1338" i="1" s="1"/>
  <c r="I1337" i="1"/>
  <c r="J1337" i="1" s="1"/>
  <c r="I1336" i="1"/>
  <c r="J1336" i="1" s="1"/>
  <c r="I1335" i="1"/>
  <c r="J1335" i="1" s="1"/>
  <c r="I1334" i="1"/>
  <c r="J1334" i="1" s="1"/>
  <c r="I1333" i="1"/>
  <c r="J1333" i="1" s="1"/>
  <c r="I1332" i="1"/>
  <c r="J1332" i="1" s="1"/>
  <c r="I1331" i="1"/>
  <c r="J1331" i="1" s="1"/>
  <c r="I1330" i="1"/>
  <c r="J1330" i="1" s="1"/>
  <c r="I1329" i="1"/>
  <c r="J1329" i="1" s="1"/>
  <c r="I1328" i="1"/>
  <c r="J1328" i="1" s="1"/>
  <c r="I1327" i="1"/>
  <c r="J1327" i="1" s="1"/>
  <c r="I1326" i="1"/>
  <c r="J1326" i="1" s="1"/>
  <c r="I1325" i="1"/>
  <c r="J1325" i="1" s="1"/>
  <c r="I1324" i="1"/>
  <c r="J1324" i="1" s="1"/>
  <c r="I1323" i="1"/>
  <c r="J1323" i="1" s="1"/>
  <c r="I1322" i="1"/>
  <c r="J1322" i="1" s="1"/>
  <c r="I1321" i="1"/>
  <c r="J1321" i="1" s="1"/>
  <c r="I1320" i="1"/>
  <c r="J1320" i="1" s="1"/>
  <c r="I1319" i="1"/>
  <c r="J1319" i="1" s="1"/>
  <c r="I1318" i="1"/>
  <c r="J1318" i="1" s="1"/>
  <c r="I1317" i="1"/>
  <c r="J1317" i="1" s="1"/>
  <c r="I1316" i="1"/>
  <c r="J1316" i="1" s="1"/>
  <c r="I1315" i="1"/>
  <c r="J1315" i="1" s="1"/>
  <c r="I1314" i="1"/>
  <c r="J1314" i="1" s="1"/>
  <c r="I1313" i="1"/>
  <c r="J1313" i="1" s="1"/>
  <c r="I1312" i="1"/>
  <c r="J1312" i="1" s="1"/>
  <c r="I1311" i="1"/>
  <c r="J1311" i="1" s="1"/>
  <c r="I1310" i="1"/>
  <c r="J1310" i="1" s="1"/>
  <c r="I1309" i="1"/>
  <c r="J1309" i="1" s="1"/>
  <c r="I1308" i="1"/>
  <c r="J1308" i="1" s="1"/>
  <c r="I1307" i="1"/>
  <c r="J1307" i="1" s="1"/>
  <c r="I1306" i="1"/>
  <c r="J1306" i="1" s="1"/>
  <c r="I1305" i="1"/>
  <c r="J1305" i="1" s="1"/>
  <c r="I1304" i="1"/>
  <c r="J1304" i="1" s="1"/>
  <c r="I1303" i="1"/>
  <c r="J1303" i="1" s="1"/>
  <c r="I1302" i="1"/>
  <c r="J1302" i="1" s="1"/>
  <c r="I1301" i="1"/>
  <c r="J1301" i="1" s="1"/>
  <c r="I1300" i="1"/>
  <c r="J1300" i="1" s="1"/>
  <c r="I1299" i="1"/>
  <c r="J1299" i="1" s="1"/>
  <c r="I1298" i="1"/>
  <c r="J1298" i="1" s="1"/>
  <c r="I1297" i="1"/>
  <c r="J1297" i="1" s="1"/>
  <c r="I1296" i="1"/>
  <c r="J1296" i="1" s="1"/>
  <c r="I1295" i="1"/>
  <c r="J1295" i="1" s="1"/>
  <c r="I1294" i="1"/>
  <c r="J1294" i="1" s="1"/>
  <c r="I1293" i="1"/>
  <c r="J1293" i="1" s="1"/>
  <c r="I1292" i="1"/>
  <c r="J1292" i="1" s="1"/>
  <c r="I1291" i="1"/>
  <c r="J1291" i="1" s="1"/>
  <c r="I1290" i="1"/>
  <c r="J1290" i="1" s="1"/>
  <c r="I1289" i="1"/>
  <c r="J1289" i="1" s="1"/>
  <c r="I1288" i="1"/>
  <c r="J1288" i="1" s="1"/>
  <c r="I1287" i="1"/>
  <c r="J1287" i="1" s="1"/>
  <c r="I1286" i="1"/>
  <c r="J1286" i="1" s="1"/>
  <c r="I1285" i="1"/>
  <c r="J1285" i="1" s="1"/>
  <c r="I1284" i="1"/>
  <c r="J1284" i="1" s="1"/>
  <c r="I1283" i="1"/>
  <c r="J1283" i="1" s="1"/>
  <c r="I1282" i="1"/>
  <c r="J1282" i="1" s="1"/>
  <c r="I1281" i="1"/>
  <c r="J1281" i="1" s="1"/>
  <c r="I1280" i="1"/>
  <c r="J1280" i="1" s="1"/>
  <c r="I1279" i="1"/>
  <c r="J1279" i="1" s="1"/>
  <c r="I1278" i="1"/>
  <c r="J1278" i="1" s="1"/>
  <c r="I1277" i="1"/>
  <c r="J1277" i="1" s="1"/>
  <c r="I1276" i="1"/>
  <c r="J1276" i="1" s="1"/>
  <c r="I1275" i="1"/>
  <c r="J1275" i="1" s="1"/>
  <c r="I1274" i="1"/>
  <c r="J1274" i="1" s="1"/>
  <c r="I1273" i="1"/>
  <c r="J1273" i="1" s="1"/>
  <c r="I1272" i="1"/>
  <c r="J1272" i="1" s="1"/>
  <c r="I1271" i="1"/>
  <c r="J1271" i="1" s="1"/>
  <c r="I1270" i="1"/>
  <c r="J1270" i="1" s="1"/>
  <c r="I1269" i="1"/>
  <c r="J1269" i="1" s="1"/>
  <c r="I1268" i="1"/>
  <c r="J1268" i="1" s="1"/>
  <c r="I1267" i="1"/>
  <c r="J1267" i="1" s="1"/>
  <c r="I1266" i="1"/>
  <c r="J1266" i="1" s="1"/>
  <c r="I1265" i="1"/>
  <c r="J1265" i="1" s="1"/>
  <c r="I1264" i="1"/>
  <c r="J1264" i="1" s="1"/>
  <c r="I1263" i="1"/>
  <c r="J1263" i="1" s="1"/>
  <c r="I1262" i="1"/>
  <c r="J1262" i="1" s="1"/>
  <c r="I1261" i="1"/>
  <c r="J1261" i="1" s="1"/>
  <c r="I1260" i="1"/>
  <c r="J1260" i="1" s="1"/>
  <c r="I1259" i="1"/>
  <c r="J1259" i="1" s="1"/>
  <c r="I1258" i="1"/>
  <c r="J1258" i="1" s="1"/>
  <c r="I1257" i="1"/>
  <c r="J1257" i="1" s="1"/>
  <c r="I1256" i="1"/>
  <c r="J1256" i="1" s="1"/>
  <c r="I1255" i="1"/>
  <c r="J1255" i="1" s="1"/>
  <c r="I1254" i="1"/>
  <c r="J1254" i="1" s="1"/>
  <c r="I1253" i="1"/>
  <c r="J1253" i="1" s="1"/>
  <c r="I1252" i="1"/>
  <c r="J1252" i="1" s="1"/>
  <c r="I1251" i="1"/>
  <c r="J1251" i="1" s="1"/>
  <c r="I1250" i="1"/>
  <c r="J1250" i="1" s="1"/>
  <c r="I1249" i="1"/>
  <c r="J1249" i="1" s="1"/>
  <c r="I1248" i="1"/>
  <c r="J1248" i="1" s="1"/>
  <c r="I1247" i="1"/>
  <c r="J1247" i="1" s="1"/>
  <c r="I1246" i="1"/>
  <c r="J1246" i="1" s="1"/>
  <c r="I1245" i="1"/>
  <c r="J1245" i="1" s="1"/>
  <c r="I1244" i="1"/>
  <c r="J1244" i="1" s="1"/>
  <c r="I1243" i="1"/>
  <c r="J1243" i="1" s="1"/>
  <c r="I1242" i="1"/>
  <c r="J1242" i="1" s="1"/>
  <c r="I1241" i="1"/>
  <c r="J1241" i="1" s="1"/>
  <c r="I1240" i="1"/>
  <c r="J1240" i="1" s="1"/>
  <c r="I1239" i="1"/>
  <c r="J1239" i="1" s="1"/>
  <c r="I1238" i="1"/>
  <c r="J1238" i="1" s="1"/>
  <c r="I1237" i="1"/>
  <c r="J1237" i="1" s="1"/>
  <c r="I1236" i="1"/>
  <c r="J1236" i="1" s="1"/>
  <c r="I1235" i="1"/>
  <c r="J1235" i="1" s="1"/>
  <c r="I1234" i="1"/>
  <c r="J1234" i="1" s="1"/>
  <c r="I1233" i="1"/>
  <c r="J1233" i="1" s="1"/>
  <c r="I1232" i="1"/>
  <c r="J1232" i="1" s="1"/>
  <c r="I1231" i="1"/>
  <c r="J1231" i="1" s="1"/>
  <c r="I1230" i="1"/>
  <c r="J1230" i="1" s="1"/>
  <c r="I1229" i="1"/>
  <c r="J1229" i="1" s="1"/>
  <c r="I1228" i="1"/>
  <c r="J1228" i="1" s="1"/>
  <c r="I1227" i="1"/>
  <c r="J1227" i="1" s="1"/>
  <c r="I1226" i="1"/>
  <c r="J1226" i="1" s="1"/>
  <c r="I1225" i="1"/>
  <c r="J1225" i="1" s="1"/>
  <c r="I1224" i="1"/>
  <c r="J1224" i="1" s="1"/>
  <c r="I1223" i="1"/>
  <c r="J1223" i="1" s="1"/>
  <c r="I1222" i="1"/>
  <c r="J1222" i="1" s="1"/>
  <c r="I1221" i="1"/>
  <c r="J1221" i="1" s="1"/>
  <c r="I1220" i="1"/>
  <c r="J1220" i="1" s="1"/>
  <c r="I1219" i="1"/>
  <c r="J1219" i="1" s="1"/>
  <c r="I1218" i="1"/>
  <c r="J1218" i="1" s="1"/>
  <c r="I1217" i="1"/>
  <c r="J1217" i="1" s="1"/>
  <c r="I1216" i="1"/>
  <c r="J1216" i="1" s="1"/>
  <c r="I1215" i="1"/>
  <c r="J1215" i="1" s="1"/>
  <c r="I1214" i="1"/>
  <c r="J1214" i="1" s="1"/>
  <c r="I1213" i="1"/>
  <c r="J1213" i="1" s="1"/>
  <c r="I1212" i="1"/>
  <c r="J1212" i="1" s="1"/>
  <c r="I1211" i="1"/>
  <c r="J1211" i="1" s="1"/>
  <c r="I1210" i="1"/>
  <c r="J1210" i="1" s="1"/>
  <c r="I1209" i="1"/>
  <c r="J1209" i="1" s="1"/>
  <c r="I1208" i="1"/>
  <c r="J1208" i="1" s="1"/>
  <c r="I1207" i="1"/>
  <c r="J1207" i="1" s="1"/>
  <c r="I1206" i="1"/>
  <c r="J1206" i="1" s="1"/>
  <c r="I1205" i="1"/>
  <c r="J1205" i="1" s="1"/>
  <c r="I1204" i="1"/>
  <c r="J1204" i="1" s="1"/>
  <c r="I1203" i="1"/>
  <c r="J1203" i="1" s="1"/>
  <c r="I1202" i="1"/>
  <c r="J1202" i="1" s="1"/>
  <c r="I1201" i="1"/>
  <c r="J1201" i="1" s="1"/>
  <c r="I1200" i="1"/>
  <c r="J1200" i="1" s="1"/>
  <c r="I1199" i="1"/>
  <c r="J1199" i="1" s="1"/>
  <c r="I1198" i="1"/>
  <c r="J1198" i="1" s="1"/>
  <c r="I1197" i="1"/>
  <c r="J1197" i="1" s="1"/>
  <c r="I1196" i="1"/>
  <c r="J1196" i="1" s="1"/>
  <c r="I1195" i="1"/>
  <c r="J1195" i="1" s="1"/>
  <c r="I1194" i="1"/>
  <c r="J1194" i="1" s="1"/>
  <c r="I1193" i="1"/>
  <c r="J1193" i="1" s="1"/>
  <c r="I1192" i="1"/>
  <c r="J1192" i="1" s="1"/>
  <c r="I1191" i="1"/>
  <c r="J1191" i="1" s="1"/>
  <c r="I1190" i="1"/>
  <c r="J1190" i="1" s="1"/>
  <c r="I1189" i="1"/>
  <c r="J1189" i="1" s="1"/>
  <c r="I1188" i="1"/>
  <c r="J1188" i="1" s="1"/>
  <c r="I1187" i="1"/>
  <c r="J1187" i="1" s="1"/>
  <c r="I1186" i="1"/>
  <c r="J1186" i="1" s="1"/>
  <c r="I1185" i="1"/>
  <c r="J1185" i="1" s="1"/>
  <c r="I1184" i="1"/>
  <c r="J1184" i="1" s="1"/>
  <c r="I1183" i="1"/>
  <c r="J1183" i="1" s="1"/>
  <c r="I1182" i="1"/>
  <c r="J1182" i="1" s="1"/>
  <c r="I1181" i="1"/>
  <c r="J1181" i="1" s="1"/>
  <c r="I1180" i="1"/>
  <c r="J1180" i="1" s="1"/>
  <c r="I1179" i="1"/>
  <c r="J1179" i="1" s="1"/>
  <c r="I1178" i="1"/>
  <c r="J1178" i="1" s="1"/>
  <c r="I1177" i="1"/>
  <c r="J1177" i="1" s="1"/>
  <c r="I1176" i="1"/>
  <c r="J1176" i="1" s="1"/>
  <c r="I1175" i="1"/>
  <c r="J1175" i="1" s="1"/>
  <c r="I1174" i="1"/>
  <c r="J1174" i="1" s="1"/>
  <c r="I1173" i="1"/>
  <c r="J1173" i="1" s="1"/>
  <c r="I1172" i="1"/>
  <c r="J1172" i="1" s="1"/>
  <c r="I1171" i="1"/>
  <c r="J1171" i="1" s="1"/>
  <c r="I1170" i="1"/>
  <c r="J1170" i="1" s="1"/>
  <c r="I1169" i="1"/>
  <c r="J1169" i="1" s="1"/>
  <c r="I1168" i="1"/>
  <c r="J1168" i="1" s="1"/>
  <c r="I1167" i="1"/>
  <c r="J1167" i="1" s="1"/>
  <c r="I1166" i="1"/>
  <c r="J1166" i="1" s="1"/>
  <c r="I1165" i="1"/>
  <c r="J1165" i="1" s="1"/>
  <c r="I1164" i="1"/>
  <c r="J1164" i="1" s="1"/>
  <c r="I1163" i="1"/>
  <c r="J1163" i="1" s="1"/>
  <c r="I1162" i="1"/>
  <c r="J1162" i="1" s="1"/>
  <c r="I1161" i="1"/>
  <c r="J1161" i="1" s="1"/>
  <c r="I1160" i="1"/>
  <c r="J1160" i="1" s="1"/>
  <c r="I1159" i="1"/>
  <c r="J1159" i="1" s="1"/>
  <c r="I1158" i="1"/>
  <c r="J1158" i="1" s="1"/>
  <c r="I1157" i="1"/>
  <c r="J1157" i="1" s="1"/>
  <c r="I1156" i="1"/>
  <c r="J1156" i="1" s="1"/>
  <c r="I1155" i="1"/>
  <c r="J1155" i="1" s="1"/>
  <c r="I1154" i="1"/>
  <c r="J1154" i="1" s="1"/>
  <c r="I1153" i="1"/>
  <c r="J1153" i="1" s="1"/>
  <c r="I1152" i="1"/>
  <c r="J1152" i="1" s="1"/>
  <c r="I1151" i="1"/>
  <c r="J1151" i="1" s="1"/>
  <c r="I1150" i="1"/>
  <c r="J1150" i="1" s="1"/>
  <c r="I1149" i="1"/>
  <c r="J1149" i="1" s="1"/>
  <c r="I1148" i="1"/>
  <c r="J1148" i="1" s="1"/>
  <c r="I1147" i="1"/>
  <c r="J1147" i="1" s="1"/>
  <c r="I1146" i="1"/>
  <c r="J1146" i="1" s="1"/>
  <c r="I1145" i="1"/>
  <c r="J1145" i="1" s="1"/>
  <c r="I1144" i="1"/>
  <c r="J1144" i="1" s="1"/>
  <c r="I1143" i="1"/>
  <c r="J1143" i="1" s="1"/>
  <c r="I1142" i="1"/>
  <c r="J1142" i="1" s="1"/>
  <c r="I1141" i="1"/>
  <c r="J1141" i="1" s="1"/>
  <c r="I1140" i="1"/>
  <c r="J1140" i="1" s="1"/>
  <c r="I1139" i="1"/>
  <c r="J1139" i="1" s="1"/>
  <c r="I1138" i="1"/>
  <c r="J1138" i="1" s="1"/>
  <c r="I1137" i="1"/>
  <c r="J1137" i="1" s="1"/>
  <c r="I1136" i="1"/>
  <c r="J1136" i="1" s="1"/>
  <c r="I1135" i="1"/>
  <c r="J1135" i="1" s="1"/>
  <c r="I1134" i="1"/>
  <c r="J1134" i="1" s="1"/>
  <c r="I1133" i="1"/>
  <c r="J1133" i="1" s="1"/>
  <c r="I1132" i="1"/>
  <c r="J1132" i="1" s="1"/>
  <c r="I1131" i="1"/>
  <c r="J1131" i="1" s="1"/>
  <c r="I1130" i="1"/>
  <c r="J1130" i="1" s="1"/>
  <c r="I1129" i="1"/>
  <c r="J1129" i="1" s="1"/>
  <c r="I1128" i="1"/>
  <c r="J1128" i="1" s="1"/>
  <c r="I1127" i="1"/>
  <c r="J1127" i="1" s="1"/>
  <c r="I1126" i="1"/>
  <c r="J1126" i="1" s="1"/>
  <c r="I1125" i="1"/>
  <c r="J1125" i="1" s="1"/>
  <c r="I1124" i="1"/>
  <c r="J1124" i="1" s="1"/>
  <c r="I1123" i="1"/>
  <c r="J1123" i="1" s="1"/>
  <c r="I1122" i="1"/>
  <c r="J1122" i="1" s="1"/>
  <c r="I1121" i="1"/>
  <c r="J1121" i="1" s="1"/>
  <c r="I1120" i="1"/>
  <c r="J1120" i="1" s="1"/>
  <c r="I1119" i="1"/>
  <c r="J1119" i="1" s="1"/>
  <c r="I1118" i="1"/>
  <c r="J1118" i="1" s="1"/>
  <c r="I1117" i="1"/>
  <c r="J1117" i="1" s="1"/>
  <c r="I1116" i="1"/>
  <c r="J1116" i="1" s="1"/>
  <c r="I1115" i="1"/>
  <c r="J1115" i="1" s="1"/>
  <c r="I1114" i="1"/>
  <c r="J1114" i="1" s="1"/>
  <c r="I1113" i="1"/>
  <c r="J1113" i="1" s="1"/>
  <c r="I1112" i="1"/>
  <c r="J1112" i="1" s="1"/>
  <c r="I1111" i="1"/>
  <c r="J1111" i="1" s="1"/>
  <c r="I1110" i="1"/>
  <c r="J1110" i="1" s="1"/>
  <c r="I1109" i="1"/>
  <c r="J1109" i="1" s="1"/>
  <c r="I1108" i="1"/>
  <c r="J1108" i="1" s="1"/>
  <c r="I1107" i="1"/>
  <c r="J1107" i="1" s="1"/>
  <c r="I1106" i="1"/>
  <c r="J1106" i="1" s="1"/>
  <c r="I1105" i="1"/>
  <c r="J1105" i="1" s="1"/>
  <c r="I1104" i="1"/>
  <c r="J1104" i="1" s="1"/>
  <c r="I1103" i="1"/>
  <c r="J1103" i="1" s="1"/>
  <c r="I1102" i="1"/>
  <c r="J1102" i="1" s="1"/>
  <c r="I1101" i="1"/>
  <c r="J1101" i="1" s="1"/>
  <c r="I1100" i="1"/>
  <c r="J1100" i="1" s="1"/>
  <c r="I1099" i="1"/>
  <c r="J1099" i="1" s="1"/>
  <c r="I1098" i="1"/>
  <c r="J1098" i="1" s="1"/>
  <c r="I1097" i="1"/>
  <c r="J1097" i="1" s="1"/>
  <c r="I1096" i="1"/>
  <c r="J1096" i="1" s="1"/>
  <c r="I1095" i="1"/>
  <c r="J1095" i="1" s="1"/>
  <c r="I1094" i="1"/>
  <c r="J1094" i="1" s="1"/>
  <c r="I1093" i="1"/>
  <c r="J1093" i="1" s="1"/>
  <c r="I1092" i="1"/>
  <c r="J1092" i="1" s="1"/>
  <c r="I1091" i="1"/>
  <c r="J1091" i="1" s="1"/>
  <c r="I1090" i="1"/>
  <c r="J1090" i="1" s="1"/>
  <c r="I1089" i="1"/>
  <c r="J1089" i="1" s="1"/>
  <c r="I1088" i="1"/>
  <c r="J1088" i="1" s="1"/>
  <c r="I1087" i="1"/>
  <c r="J1087" i="1" s="1"/>
  <c r="I1086" i="1"/>
  <c r="J1086" i="1" s="1"/>
  <c r="I1085" i="1"/>
  <c r="J1085" i="1" s="1"/>
  <c r="I1084" i="1"/>
  <c r="J1084" i="1" s="1"/>
  <c r="I1083" i="1"/>
  <c r="J1083" i="1" s="1"/>
  <c r="I1082" i="1"/>
  <c r="J1082" i="1" s="1"/>
  <c r="I1081" i="1"/>
  <c r="J1081" i="1" s="1"/>
  <c r="I1080" i="1"/>
  <c r="J1080" i="1" s="1"/>
  <c r="I1079" i="1"/>
  <c r="J1079" i="1" s="1"/>
  <c r="I1078" i="1"/>
  <c r="J1078" i="1" s="1"/>
  <c r="I1077" i="1"/>
  <c r="J1077" i="1" s="1"/>
  <c r="I1076" i="1"/>
  <c r="J1076" i="1" s="1"/>
  <c r="I1075" i="1"/>
  <c r="J1075" i="1" s="1"/>
  <c r="I1074" i="1"/>
  <c r="J1074" i="1" s="1"/>
  <c r="I1073" i="1"/>
  <c r="J1073" i="1" s="1"/>
  <c r="I1072" i="1"/>
  <c r="J1072" i="1" s="1"/>
  <c r="I1071" i="1"/>
  <c r="J1071" i="1" s="1"/>
  <c r="I1070" i="1"/>
  <c r="J1070" i="1" s="1"/>
  <c r="I1069" i="1"/>
  <c r="J1069" i="1" s="1"/>
  <c r="I1068" i="1"/>
  <c r="J1068" i="1" s="1"/>
  <c r="I1067" i="1"/>
  <c r="J1067" i="1" s="1"/>
  <c r="I1066" i="1"/>
  <c r="J1066" i="1" s="1"/>
  <c r="I1065" i="1"/>
  <c r="J1065" i="1" s="1"/>
  <c r="I1064" i="1"/>
  <c r="J1064" i="1" s="1"/>
  <c r="I1063" i="1"/>
  <c r="J1063" i="1" s="1"/>
  <c r="I1062" i="1"/>
  <c r="J1062" i="1" s="1"/>
  <c r="I1061" i="1"/>
  <c r="J1061" i="1" s="1"/>
  <c r="I1060" i="1"/>
  <c r="J1060" i="1" s="1"/>
  <c r="I1059" i="1"/>
  <c r="J1059" i="1" s="1"/>
  <c r="I1058" i="1"/>
  <c r="J1058" i="1" s="1"/>
  <c r="I1057" i="1"/>
  <c r="J1057" i="1" s="1"/>
  <c r="I1056" i="1"/>
  <c r="J1056" i="1" s="1"/>
  <c r="I1055" i="1"/>
  <c r="J1055" i="1" s="1"/>
  <c r="I1054" i="1"/>
  <c r="J1054" i="1" s="1"/>
  <c r="I1053" i="1"/>
  <c r="J1053" i="1" s="1"/>
  <c r="I1052" i="1"/>
  <c r="J1052" i="1" s="1"/>
  <c r="I1051" i="1"/>
  <c r="J1051" i="1" s="1"/>
  <c r="I1050" i="1"/>
  <c r="J1050" i="1" s="1"/>
  <c r="I1049" i="1"/>
  <c r="J1049" i="1" s="1"/>
  <c r="I1048" i="1"/>
  <c r="I1047" i="1"/>
  <c r="J1047" i="1" s="1"/>
  <c r="I1046" i="1"/>
  <c r="J1046" i="1" s="1"/>
  <c r="I1647" i="1" l="1"/>
  <c r="J1048" i="1"/>
  <c r="J1647" i="1" s="1"/>
  <c r="J1042" i="1" l="1"/>
  <c r="I1042" i="1"/>
  <c r="H1042" i="1"/>
  <c r="G1042" i="1"/>
  <c r="F1042" i="1"/>
  <c r="L1040" i="1"/>
  <c r="K1040" i="1"/>
  <c r="L1039" i="1"/>
  <c r="K1039" i="1"/>
  <c r="L1038" i="1"/>
  <c r="K1038" i="1"/>
  <c r="L1037" i="1"/>
  <c r="K1037" i="1"/>
  <c r="L1036" i="1"/>
  <c r="K1036" i="1"/>
  <c r="L1035" i="1"/>
  <c r="K1035" i="1"/>
  <c r="L1034" i="1"/>
  <c r="K1034" i="1"/>
  <c r="L1033" i="1"/>
  <c r="K1033" i="1"/>
  <c r="L1032" i="1"/>
  <c r="K1032" i="1"/>
  <c r="L1031" i="1"/>
  <c r="K1031" i="1"/>
  <c r="L1030" i="1"/>
  <c r="K1030" i="1"/>
  <c r="L1029" i="1"/>
  <c r="K1029" i="1"/>
  <c r="J1026" i="1"/>
  <c r="H1026" i="1"/>
  <c r="F1026" i="1"/>
  <c r="I1025" i="1"/>
  <c r="L1025" i="1" s="1"/>
  <c r="I1024" i="1"/>
  <c r="L1024" i="1" s="1"/>
  <c r="I1023" i="1"/>
  <c r="K1023" i="1" s="1"/>
  <c r="I1022" i="1"/>
  <c r="L1022" i="1" s="1"/>
  <c r="I1021" i="1"/>
  <c r="K1021" i="1" s="1"/>
  <c r="I1020" i="1"/>
  <c r="L1020" i="1" s="1"/>
  <c r="I1019" i="1"/>
  <c r="K1019" i="1" s="1"/>
  <c r="I1018" i="1"/>
  <c r="L1018" i="1" s="1"/>
  <c r="L1041" i="1" l="1"/>
  <c r="K1041" i="1"/>
  <c r="L1023" i="1"/>
  <c r="I1026" i="1"/>
  <c r="L1019" i="1"/>
  <c r="K1022" i="1"/>
  <c r="K1018" i="1"/>
  <c r="K1025" i="1"/>
  <c r="K1020" i="1"/>
  <c r="L1021" i="1"/>
  <c r="K1024" i="1"/>
  <c r="J1015" i="1" l="1"/>
  <c r="I1015" i="1"/>
  <c r="L1016" i="1"/>
  <c r="K1016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J865" i="1" s="1"/>
  <c r="I864" i="1"/>
  <c r="I863" i="1"/>
  <c r="J863" i="1" s="1"/>
  <c r="K863" i="1" s="1"/>
  <c r="I862" i="1"/>
  <c r="I861" i="1"/>
  <c r="J861" i="1" s="1"/>
  <c r="I860" i="1"/>
  <c r="I859" i="1"/>
  <c r="J859" i="1" s="1"/>
  <c r="K859" i="1" s="1"/>
  <c r="I858" i="1"/>
  <c r="I857" i="1"/>
  <c r="J857" i="1" s="1"/>
  <c r="I856" i="1"/>
  <c r="I855" i="1"/>
  <c r="J855" i="1" s="1"/>
  <c r="K855" i="1" s="1"/>
  <c r="I854" i="1"/>
  <c r="I853" i="1"/>
  <c r="J853" i="1" s="1"/>
  <c r="I852" i="1"/>
  <c r="I851" i="1"/>
  <c r="J851" i="1" s="1"/>
  <c r="K851" i="1" s="1"/>
  <c r="I850" i="1"/>
  <c r="I849" i="1"/>
  <c r="J849" i="1" s="1"/>
  <c r="I848" i="1"/>
  <c r="I847" i="1"/>
  <c r="J847" i="1" s="1"/>
  <c r="K847" i="1" s="1"/>
  <c r="I846" i="1"/>
  <c r="I845" i="1"/>
  <c r="J845" i="1" s="1"/>
  <c r="I844" i="1"/>
  <c r="I843" i="1"/>
  <c r="J843" i="1" s="1"/>
  <c r="K843" i="1" s="1"/>
  <c r="I842" i="1"/>
  <c r="I841" i="1"/>
  <c r="J841" i="1" s="1"/>
  <c r="I840" i="1"/>
  <c r="I839" i="1"/>
  <c r="J839" i="1" s="1"/>
  <c r="K839" i="1" s="1"/>
  <c r="I838" i="1"/>
  <c r="I837" i="1"/>
  <c r="J837" i="1" s="1"/>
  <c r="I836" i="1"/>
  <c r="I835" i="1"/>
  <c r="J835" i="1" s="1"/>
  <c r="K835" i="1" s="1"/>
  <c r="I834" i="1"/>
  <c r="I833" i="1"/>
  <c r="J833" i="1" s="1"/>
  <c r="I832" i="1"/>
  <c r="I831" i="1"/>
  <c r="J831" i="1" s="1"/>
  <c r="K831" i="1" s="1"/>
  <c r="I830" i="1"/>
  <c r="I829" i="1"/>
  <c r="J829" i="1" s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J793" i="1" s="1"/>
  <c r="I792" i="1"/>
  <c r="J792" i="1" s="1"/>
  <c r="I791" i="1"/>
  <c r="J791" i="1" s="1"/>
  <c r="K791" i="1" s="1"/>
  <c r="I790" i="1"/>
  <c r="J790" i="1" s="1"/>
  <c r="K790" i="1" s="1"/>
  <c r="I789" i="1"/>
  <c r="J789" i="1" s="1"/>
  <c r="K789" i="1" s="1"/>
  <c r="I788" i="1"/>
  <c r="J788" i="1" s="1"/>
  <c r="K788" i="1" s="1"/>
  <c r="I787" i="1"/>
  <c r="J787" i="1" s="1"/>
  <c r="K787" i="1" s="1"/>
  <c r="I786" i="1"/>
  <c r="J786" i="1" s="1"/>
  <c r="K786" i="1" s="1"/>
  <c r="I785" i="1"/>
  <c r="J785" i="1" s="1"/>
  <c r="K785" i="1" s="1"/>
  <c r="I784" i="1"/>
  <c r="J784" i="1" s="1"/>
  <c r="K784" i="1" s="1"/>
  <c r="I783" i="1"/>
  <c r="J783" i="1" s="1"/>
  <c r="K783" i="1" s="1"/>
  <c r="I782" i="1"/>
  <c r="J782" i="1" s="1"/>
  <c r="K782" i="1" s="1"/>
  <c r="I781" i="1"/>
  <c r="J781" i="1" s="1"/>
  <c r="K781" i="1" s="1"/>
  <c r="I780" i="1"/>
  <c r="J780" i="1" s="1"/>
  <c r="K780" i="1" s="1"/>
  <c r="I779" i="1"/>
  <c r="I778" i="1"/>
  <c r="J778" i="1" s="1"/>
  <c r="K778" i="1" s="1"/>
  <c r="I777" i="1"/>
  <c r="J777" i="1" s="1"/>
  <c r="K777" i="1" s="1"/>
  <c r="I776" i="1"/>
  <c r="I775" i="1"/>
  <c r="I774" i="1"/>
  <c r="I773" i="1"/>
  <c r="I772" i="1"/>
  <c r="I771" i="1"/>
  <c r="J771" i="1" s="1"/>
  <c r="I770" i="1"/>
  <c r="I769" i="1"/>
  <c r="I768" i="1"/>
  <c r="J768" i="1" s="1"/>
  <c r="I767" i="1"/>
  <c r="I766" i="1"/>
  <c r="J766" i="1" s="1"/>
  <c r="I765" i="1"/>
  <c r="I764" i="1"/>
  <c r="J764" i="1" s="1"/>
  <c r="I763" i="1"/>
  <c r="I762" i="1"/>
  <c r="J762" i="1" s="1"/>
  <c r="I761" i="1"/>
  <c r="I760" i="1"/>
  <c r="J760" i="1" s="1"/>
  <c r="I759" i="1"/>
  <c r="I758" i="1"/>
  <c r="J758" i="1" s="1"/>
  <c r="I757" i="1"/>
  <c r="I756" i="1"/>
  <c r="J756" i="1" s="1"/>
  <c r="I755" i="1"/>
  <c r="I754" i="1"/>
  <c r="J754" i="1" s="1"/>
  <c r="I753" i="1"/>
  <c r="I752" i="1"/>
  <c r="J752" i="1" s="1"/>
  <c r="I751" i="1"/>
  <c r="I750" i="1"/>
  <c r="J750" i="1" s="1"/>
  <c r="I749" i="1"/>
  <c r="I748" i="1"/>
  <c r="J748" i="1" s="1"/>
  <c r="I747" i="1"/>
  <c r="J747" i="1" s="1"/>
  <c r="I746" i="1"/>
  <c r="I745" i="1"/>
  <c r="I744" i="1"/>
  <c r="J744" i="1" s="1"/>
  <c r="I743" i="1"/>
  <c r="J743" i="1" s="1"/>
  <c r="I742" i="1"/>
  <c r="I741" i="1"/>
  <c r="J741" i="1" s="1"/>
  <c r="I740" i="1"/>
  <c r="I739" i="1"/>
  <c r="J739" i="1" s="1"/>
  <c r="I738" i="1"/>
  <c r="I737" i="1"/>
  <c r="J737" i="1" s="1"/>
  <c r="I736" i="1"/>
  <c r="I735" i="1"/>
  <c r="J735" i="1" s="1"/>
  <c r="I734" i="1"/>
  <c r="I733" i="1"/>
  <c r="J733" i="1" s="1"/>
  <c r="I732" i="1"/>
  <c r="I731" i="1"/>
  <c r="J731" i="1" s="1"/>
  <c r="I730" i="1"/>
  <c r="I729" i="1"/>
  <c r="J729" i="1" s="1"/>
  <c r="I728" i="1"/>
  <c r="I727" i="1"/>
  <c r="J727" i="1" s="1"/>
  <c r="I726" i="1"/>
  <c r="I725" i="1"/>
  <c r="J725" i="1" s="1"/>
  <c r="I724" i="1"/>
  <c r="I723" i="1"/>
  <c r="J723" i="1" s="1"/>
  <c r="I722" i="1"/>
  <c r="I721" i="1"/>
  <c r="J721" i="1" s="1"/>
  <c r="I720" i="1"/>
  <c r="J717" i="1"/>
  <c r="I716" i="1"/>
  <c r="L716" i="1" s="1"/>
  <c r="I715" i="1"/>
  <c r="L715" i="1" s="1"/>
  <c r="I714" i="1"/>
  <c r="K714" i="1" s="1"/>
  <c r="I710" i="1"/>
  <c r="I711" i="1" s="1"/>
  <c r="J707" i="1"/>
  <c r="L706" i="1"/>
  <c r="K706" i="1"/>
  <c r="L703" i="1"/>
  <c r="K703" i="1"/>
  <c r="L702" i="1"/>
  <c r="K702" i="1"/>
  <c r="L701" i="1"/>
  <c r="K701" i="1"/>
  <c r="L698" i="1"/>
  <c r="K698" i="1"/>
  <c r="L697" i="1"/>
  <c r="K697" i="1"/>
  <c r="L696" i="1"/>
  <c r="K696" i="1"/>
  <c r="L693" i="1"/>
  <c r="K693" i="1"/>
  <c r="L692" i="1"/>
  <c r="K692" i="1"/>
  <c r="L691" i="1"/>
  <c r="K691" i="1"/>
  <c r="L690" i="1"/>
  <c r="K690" i="1"/>
  <c r="L689" i="1"/>
  <c r="K689" i="1"/>
  <c r="L688" i="1"/>
  <c r="K688" i="1"/>
  <c r="L684" i="1"/>
  <c r="K684" i="1"/>
  <c r="L683" i="1"/>
  <c r="K683" i="1"/>
  <c r="H683" i="1"/>
  <c r="G683" i="1"/>
  <c r="F683" i="1"/>
  <c r="L682" i="1"/>
  <c r="K682" i="1"/>
  <c r="L681" i="1"/>
  <c r="K681" i="1"/>
  <c r="L677" i="1"/>
  <c r="K677" i="1"/>
  <c r="L676" i="1"/>
  <c r="K676" i="1"/>
  <c r="H676" i="1"/>
  <c r="G676" i="1"/>
  <c r="F676" i="1"/>
  <c r="J675" i="1"/>
  <c r="I675" i="1"/>
  <c r="L674" i="1"/>
  <c r="K674" i="1"/>
  <c r="L670" i="1"/>
  <c r="K670" i="1"/>
  <c r="L669" i="1"/>
  <c r="K669" i="1"/>
  <c r="H669" i="1"/>
  <c r="G669" i="1"/>
  <c r="F669" i="1"/>
  <c r="L668" i="1"/>
  <c r="K668" i="1"/>
  <c r="L665" i="1"/>
  <c r="K665" i="1"/>
  <c r="L664" i="1"/>
  <c r="K664" i="1"/>
  <c r="L663" i="1"/>
  <c r="K663" i="1"/>
  <c r="G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J648" i="1"/>
  <c r="I648" i="1"/>
  <c r="L647" i="1"/>
  <c r="K647" i="1"/>
  <c r="J646" i="1"/>
  <c r="I646" i="1"/>
  <c r="H646" i="1"/>
  <c r="H641" i="1" s="1"/>
  <c r="L642" i="1"/>
  <c r="K642" i="1"/>
  <c r="L641" i="1"/>
  <c r="K641" i="1"/>
  <c r="G641" i="1"/>
  <c r="F641" i="1"/>
  <c r="L640" i="1"/>
  <c r="K640" i="1"/>
  <c r="L637" i="1"/>
  <c r="K637" i="1"/>
  <c r="L636" i="1"/>
  <c r="K636" i="1"/>
  <c r="L635" i="1"/>
  <c r="K635" i="1"/>
  <c r="L632" i="1"/>
  <c r="K632" i="1"/>
  <c r="J631" i="1"/>
  <c r="I631" i="1"/>
  <c r="G631" i="1"/>
  <c r="G625" i="1" s="1"/>
  <c r="L630" i="1"/>
  <c r="K630" i="1"/>
  <c r="L627" i="1"/>
  <c r="K627" i="1"/>
  <c r="L626" i="1"/>
  <c r="K626" i="1"/>
  <c r="I625" i="1"/>
  <c r="K625" i="1" s="1"/>
  <c r="H625" i="1"/>
  <c r="F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J614" i="1"/>
  <c r="I614" i="1"/>
  <c r="H614" i="1"/>
  <c r="H609" i="1" s="1"/>
  <c r="L613" i="1"/>
  <c r="K613" i="1"/>
  <c r="L612" i="1"/>
  <c r="K612" i="1"/>
  <c r="L611" i="1"/>
  <c r="K611" i="1"/>
  <c r="L610" i="1"/>
  <c r="K610" i="1"/>
  <c r="L609" i="1"/>
  <c r="K609" i="1"/>
  <c r="G609" i="1"/>
  <c r="F609" i="1"/>
  <c r="L608" i="1"/>
  <c r="K608" i="1"/>
  <c r="I607" i="1"/>
  <c r="L607" i="1" s="1"/>
  <c r="L606" i="1"/>
  <c r="K606" i="1"/>
  <c r="L605" i="1"/>
  <c r="K605" i="1"/>
  <c r="L604" i="1"/>
  <c r="K604" i="1"/>
  <c r="L603" i="1"/>
  <c r="K603" i="1"/>
  <c r="L602" i="1"/>
  <c r="K602" i="1"/>
  <c r="I601" i="1"/>
  <c r="K601" i="1" s="1"/>
  <c r="H601" i="1"/>
  <c r="G601" i="1"/>
  <c r="F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J590" i="1"/>
  <c r="L590" i="1" s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H581" i="1"/>
  <c r="J580" i="1"/>
  <c r="L580" i="1" s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I552" i="1"/>
  <c r="J552" i="1"/>
  <c r="G707" i="1" l="1"/>
  <c r="L1015" i="1"/>
  <c r="H707" i="1"/>
  <c r="F707" i="1"/>
  <c r="L792" i="1"/>
  <c r="K646" i="1"/>
  <c r="K675" i="1"/>
  <c r="I717" i="1"/>
  <c r="L714" i="1"/>
  <c r="L717" i="1" s="1"/>
  <c r="K1015" i="1"/>
  <c r="K793" i="1"/>
  <c r="K833" i="1"/>
  <c r="L793" i="1"/>
  <c r="K829" i="1"/>
  <c r="K837" i="1"/>
  <c r="K845" i="1"/>
  <c r="K853" i="1"/>
  <c r="K861" i="1"/>
  <c r="K841" i="1"/>
  <c r="K849" i="1"/>
  <c r="K857" i="1"/>
  <c r="K865" i="1"/>
  <c r="I912" i="1"/>
  <c r="K721" i="1"/>
  <c r="K723" i="1"/>
  <c r="K725" i="1"/>
  <c r="K727" i="1"/>
  <c r="K729" i="1"/>
  <c r="K731" i="1"/>
  <c r="K733" i="1"/>
  <c r="K735" i="1"/>
  <c r="K737" i="1"/>
  <c r="K739" i="1"/>
  <c r="K741" i="1"/>
  <c r="K743" i="1"/>
  <c r="K744" i="1"/>
  <c r="K747" i="1"/>
  <c r="K748" i="1"/>
  <c r="K750" i="1"/>
  <c r="K752" i="1"/>
  <c r="K754" i="1"/>
  <c r="K756" i="1"/>
  <c r="K758" i="1"/>
  <c r="K760" i="1"/>
  <c r="K762" i="1"/>
  <c r="K764" i="1"/>
  <c r="K766" i="1"/>
  <c r="K768" i="1"/>
  <c r="K771" i="1"/>
  <c r="L721" i="1"/>
  <c r="L723" i="1"/>
  <c r="L725" i="1"/>
  <c r="L727" i="1"/>
  <c r="L729" i="1"/>
  <c r="L731" i="1"/>
  <c r="L733" i="1"/>
  <c r="L735" i="1"/>
  <c r="L737" i="1"/>
  <c r="L739" i="1"/>
  <c r="L741" i="1"/>
  <c r="L743" i="1"/>
  <c r="L744" i="1"/>
  <c r="L747" i="1"/>
  <c r="L748" i="1"/>
  <c r="L750" i="1"/>
  <c r="L752" i="1"/>
  <c r="L754" i="1"/>
  <c r="L756" i="1"/>
  <c r="L758" i="1"/>
  <c r="L760" i="1"/>
  <c r="L762" i="1"/>
  <c r="L764" i="1"/>
  <c r="L766" i="1"/>
  <c r="L768" i="1"/>
  <c r="L771" i="1"/>
  <c r="L777" i="1"/>
  <c r="L778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J867" i="1"/>
  <c r="L867" i="1" s="1"/>
  <c r="J871" i="1"/>
  <c r="K871" i="1" s="1"/>
  <c r="J875" i="1"/>
  <c r="L875" i="1" s="1"/>
  <c r="J879" i="1"/>
  <c r="L879" i="1" s="1"/>
  <c r="J883" i="1"/>
  <c r="K883" i="1" s="1"/>
  <c r="J887" i="1"/>
  <c r="K887" i="1" s="1"/>
  <c r="J891" i="1"/>
  <c r="L891" i="1" s="1"/>
  <c r="J895" i="1"/>
  <c r="K895" i="1" s="1"/>
  <c r="J795" i="1"/>
  <c r="K795" i="1" s="1"/>
  <c r="J797" i="1"/>
  <c r="K797" i="1" s="1"/>
  <c r="J799" i="1"/>
  <c r="L799" i="1" s="1"/>
  <c r="J801" i="1"/>
  <c r="L801" i="1" s="1"/>
  <c r="J803" i="1"/>
  <c r="L803" i="1" s="1"/>
  <c r="J805" i="1"/>
  <c r="K805" i="1" s="1"/>
  <c r="J807" i="1"/>
  <c r="L807" i="1" s="1"/>
  <c r="J809" i="1"/>
  <c r="L809" i="1" s="1"/>
  <c r="J811" i="1"/>
  <c r="K811" i="1" s="1"/>
  <c r="J813" i="1"/>
  <c r="K813" i="1" s="1"/>
  <c r="J815" i="1"/>
  <c r="L815" i="1" s="1"/>
  <c r="J817" i="1"/>
  <c r="L817" i="1" s="1"/>
  <c r="J819" i="1"/>
  <c r="L819" i="1" s="1"/>
  <c r="J821" i="1"/>
  <c r="K821" i="1" s="1"/>
  <c r="J823" i="1"/>
  <c r="L823" i="1" s="1"/>
  <c r="J825" i="1"/>
  <c r="L825" i="1" s="1"/>
  <c r="J827" i="1"/>
  <c r="K827" i="1" s="1"/>
  <c r="J868" i="1"/>
  <c r="L868" i="1" s="1"/>
  <c r="J872" i="1"/>
  <c r="L872" i="1" s="1"/>
  <c r="J876" i="1"/>
  <c r="L876" i="1" s="1"/>
  <c r="J880" i="1"/>
  <c r="K880" i="1" s="1"/>
  <c r="J884" i="1"/>
  <c r="L884" i="1" s="1"/>
  <c r="J888" i="1"/>
  <c r="L888" i="1" s="1"/>
  <c r="J892" i="1"/>
  <c r="K892" i="1" s="1"/>
  <c r="J896" i="1"/>
  <c r="K896" i="1" s="1"/>
  <c r="J720" i="1"/>
  <c r="J722" i="1"/>
  <c r="K722" i="1" s="1"/>
  <c r="J724" i="1"/>
  <c r="K724" i="1" s="1"/>
  <c r="J726" i="1"/>
  <c r="K726" i="1" s="1"/>
  <c r="J728" i="1"/>
  <c r="K728" i="1" s="1"/>
  <c r="J730" i="1"/>
  <c r="L730" i="1" s="1"/>
  <c r="J732" i="1"/>
  <c r="K732" i="1" s="1"/>
  <c r="J734" i="1"/>
  <c r="K734" i="1" s="1"/>
  <c r="J736" i="1"/>
  <c r="L736" i="1" s="1"/>
  <c r="J738" i="1"/>
  <c r="L738" i="1" s="1"/>
  <c r="J740" i="1"/>
  <c r="K740" i="1" s="1"/>
  <c r="J742" i="1"/>
  <c r="L742" i="1" s="1"/>
  <c r="J745" i="1"/>
  <c r="K745" i="1" s="1"/>
  <c r="J746" i="1"/>
  <c r="K746" i="1" s="1"/>
  <c r="J749" i="1"/>
  <c r="K749" i="1" s="1"/>
  <c r="J751" i="1"/>
  <c r="K751" i="1" s="1"/>
  <c r="J753" i="1"/>
  <c r="K753" i="1" s="1"/>
  <c r="J755" i="1"/>
  <c r="L755" i="1" s="1"/>
  <c r="J757" i="1"/>
  <c r="K757" i="1" s="1"/>
  <c r="J759" i="1"/>
  <c r="L759" i="1" s="1"/>
  <c r="J761" i="1"/>
  <c r="K761" i="1" s="1"/>
  <c r="J763" i="1"/>
  <c r="L763" i="1" s="1"/>
  <c r="J765" i="1"/>
  <c r="K765" i="1" s="1"/>
  <c r="J767" i="1"/>
  <c r="K767" i="1" s="1"/>
  <c r="J769" i="1"/>
  <c r="K769" i="1" s="1"/>
  <c r="J770" i="1"/>
  <c r="K770" i="1" s="1"/>
  <c r="J772" i="1"/>
  <c r="K772" i="1" s="1"/>
  <c r="J773" i="1"/>
  <c r="L773" i="1" s="1"/>
  <c r="J774" i="1"/>
  <c r="L774" i="1" s="1"/>
  <c r="J775" i="1"/>
  <c r="L775" i="1" s="1"/>
  <c r="J776" i="1"/>
  <c r="K776" i="1" s="1"/>
  <c r="J779" i="1"/>
  <c r="L779" i="1" s="1"/>
  <c r="K792" i="1"/>
  <c r="K799" i="1"/>
  <c r="J869" i="1"/>
  <c r="L869" i="1" s="1"/>
  <c r="J873" i="1"/>
  <c r="K873" i="1" s="1"/>
  <c r="J877" i="1"/>
  <c r="L877" i="1" s="1"/>
  <c r="J881" i="1"/>
  <c r="L881" i="1" s="1"/>
  <c r="J885" i="1"/>
  <c r="L885" i="1" s="1"/>
  <c r="J889" i="1"/>
  <c r="K889" i="1" s="1"/>
  <c r="J893" i="1"/>
  <c r="L893" i="1" s="1"/>
  <c r="J794" i="1"/>
  <c r="K794" i="1" s="1"/>
  <c r="J796" i="1"/>
  <c r="K796" i="1" s="1"/>
  <c r="J798" i="1"/>
  <c r="K798" i="1" s="1"/>
  <c r="J800" i="1"/>
  <c r="K800" i="1" s="1"/>
  <c r="J802" i="1"/>
  <c r="K802" i="1" s="1"/>
  <c r="J804" i="1"/>
  <c r="L804" i="1" s="1"/>
  <c r="J806" i="1"/>
  <c r="K806" i="1" s="1"/>
  <c r="J808" i="1"/>
  <c r="L808" i="1" s="1"/>
  <c r="J810" i="1"/>
  <c r="K810" i="1" s="1"/>
  <c r="J812" i="1"/>
  <c r="K812" i="1" s="1"/>
  <c r="J814" i="1"/>
  <c r="K814" i="1" s="1"/>
  <c r="J816" i="1"/>
  <c r="K816" i="1" s="1"/>
  <c r="J818" i="1"/>
  <c r="K818" i="1" s="1"/>
  <c r="J820" i="1"/>
  <c r="L820" i="1" s="1"/>
  <c r="J822" i="1"/>
  <c r="K822" i="1" s="1"/>
  <c r="J824" i="1"/>
  <c r="L824" i="1" s="1"/>
  <c r="J826" i="1"/>
  <c r="K826" i="1" s="1"/>
  <c r="J828" i="1"/>
  <c r="K828" i="1" s="1"/>
  <c r="J830" i="1"/>
  <c r="K830" i="1" s="1"/>
  <c r="J832" i="1"/>
  <c r="L832" i="1" s="1"/>
  <c r="J834" i="1"/>
  <c r="K834" i="1" s="1"/>
  <c r="J836" i="1"/>
  <c r="K836" i="1" s="1"/>
  <c r="J838" i="1"/>
  <c r="K838" i="1" s="1"/>
  <c r="J840" i="1"/>
  <c r="L840" i="1" s="1"/>
  <c r="J842" i="1"/>
  <c r="K842" i="1" s="1"/>
  <c r="J844" i="1"/>
  <c r="L844" i="1" s="1"/>
  <c r="J846" i="1"/>
  <c r="K846" i="1" s="1"/>
  <c r="J848" i="1"/>
  <c r="K848" i="1" s="1"/>
  <c r="J850" i="1"/>
  <c r="K850" i="1" s="1"/>
  <c r="J852" i="1"/>
  <c r="L852" i="1" s="1"/>
  <c r="J854" i="1"/>
  <c r="K854" i="1" s="1"/>
  <c r="J856" i="1"/>
  <c r="K856" i="1" s="1"/>
  <c r="J858" i="1"/>
  <c r="K858" i="1" s="1"/>
  <c r="J860" i="1"/>
  <c r="K860" i="1" s="1"/>
  <c r="J862" i="1"/>
  <c r="K862" i="1" s="1"/>
  <c r="J864" i="1"/>
  <c r="L864" i="1" s="1"/>
  <c r="J866" i="1"/>
  <c r="L866" i="1" s="1"/>
  <c r="J870" i="1"/>
  <c r="L870" i="1" s="1"/>
  <c r="J874" i="1"/>
  <c r="K874" i="1" s="1"/>
  <c r="J878" i="1"/>
  <c r="L878" i="1" s="1"/>
  <c r="J882" i="1"/>
  <c r="L882" i="1" s="1"/>
  <c r="J886" i="1"/>
  <c r="L886" i="1" s="1"/>
  <c r="J890" i="1"/>
  <c r="K890" i="1" s="1"/>
  <c r="J894" i="1"/>
  <c r="L894" i="1" s="1"/>
  <c r="J898" i="1"/>
  <c r="L898" i="1" s="1"/>
  <c r="L831" i="1"/>
  <c r="L835" i="1"/>
  <c r="L839" i="1"/>
  <c r="L843" i="1"/>
  <c r="L847" i="1"/>
  <c r="L851" i="1"/>
  <c r="L855" i="1"/>
  <c r="L859" i="1"/>
  <c r="L863" i="1"/>
  <c r="J900" i="1"/>
  <c r="L900" i="1" s="1"/>
  <c r="J902" i="1"/>
  <c r="L902" i="1" s="1"/>
  <c r="J904" i="1"/>
  <c r="L904" i="1" s="1"/>
  <c r="J906" i="1"/>
  <c r="L906" i="1" s="1"/>
  <c r="J908" i="1"/>
  <c r="L908" i="1" s="1"/>
  <c r="J910" i="1"/>
  <c r="L910" i="1" s="1"/>
  <c r="L829" i="1"/>
  <c r="L833" i="1"/>
  <c r="L837" i="1"/>
  <c r="L841" i="1"/>
  <c r="L845" i="1"/>
  <c r="L849" i="1"/>
  <c r="L853" i="1"/>
  <c r="L857" i="1"/>
  <c r="L861" i="1"/>
  <c r="L865" i="1"/>
  <c r="K900" i="1"/>
  <c r="J897" i="1"/>
  <c r="K897" i="1" s="1"/>
  <c r="J899" i="1"/>
  <c r="L899" i="1" s="1"/>
  <c r="J901" i="1"/>
  <c r="K901" i="1" s="1"/>
  <c r="J903" i="1"/>
  <c r="K903" i="1" s="1"/>
  <c r="J905" i="1"/>
  <c r="K905" i="1" s="1"/>
  <c r="J907" i="1"/>
  <c r="L907" i="1" s="1"/>
  <c r="J909" i="1"/>
  <c r="K909" i="1" s="1"/>
  <c r="J911" i="1"/>
  <c r="K911" i="1" s="1"/>
  <c r="K716" i="1"/>
  <c r="K715" i="1"/>
  <c r="J710" i="1"/>
  <c r="J711" i="1" s="1"/>
  <c r="I707" i="1"/>
  <c r="K614" i="1"/>
  <c r="K580" i="1"/>
  <c r="L625" i="1"/>
  <c r="K631" i="1"/>
  <c r="L646" i="1"/>
  <c r="L601" i="1"/>
  <c r="L614" i="1"/>
  <c r="K707" i="1"/>
  <c r="K590" i="1"/>
  <c r="K648" i="1"/>
  <c r="L675" i="1"/>
  <c r="L631" i="1"/>
  <c r="L648" i="1"/>
  <c r="K607" i="1"/>
  <c r="I489" i="1"/>
  <c r="J489" i="1" s="1"/>
  <c r="I488" i="1"/>
  <c r="J488" i="1" s="1"/>
  <c r="I487" i="1"/>
  <c r="J487" i="1" s="1"/>
  <c r="I486" i="1"/>
  <c r="J486" i="1" s="1"/>
  <c r="I485" i="1"/>
  <c r="J485" i="1" s="1"/>
  <c r="I484" i="1"/>
  <c r="J484" i="1" s="1"/>
  <c r="I483" i="1"/>
  <c r="J483" i="1" s="1"/>
  <c r="I482" i="1"/>
  <c r="J482" i="1" s="1"/>
  <c r="I481" i="1"/>
  <c r="J481" i="1" s="1"/>
  <c r="I480" i="1"/>
  <c r="J480" i="1" s="1"/>
  <c r="I479" i="1"/>
  <c r="J479" i="1" s="1"/>
  <c r="I478" i="1"/>
  <c r="J478" i="1" s="1"/>
  <c r="I477" i="1"/>
  <c r="K815" i="1" l="1"/>
  <c r="K807" i="1"/>
  <c r="K823" i="1"/>
  <c r="K898" i="1"/>
  <c r="K803" i="1"/>
  <c r="L895" i="1"/>
  <c r="K819" i="1"/>
  <c r="K908" i="1"/>
  <c r="K866" i="1"/>
  <c r="K742" i="1"/>
  <c r="L827" i="1"/>
  <c r="L811" i="1"/>
  <c r="L795" i="1"/>
  <c r="L734" i="1"/>
  <c r="K763" i="1"/>
  <c r="K904" i="1"/>
  <c r="K825" i="1"/>
  <c r="K817" i="1"/>
  <c r="K809" i="1"/>
  <c r="K801" i="1"/>
  <c r="L821" i="1"/>
  <c r="L813" i="1"/>
  <c r="L805" i="1"/>
  <c r="L797" i="1"/>
  <c r="L770" i="1"/>
  <c r="K882" i="1"/>
  <c r="K881" i="1"/>
  <c r="L726" i="1"/>
  <c r="K738" i="1"/>
  <c r="L890" i="1"/>
  <c r="L909" i="1"/>
  <c r="L905" i="1"/>
  <c r="L901" i="1"/>
  <c r="L897" i="1"/>
  <c r="K906" i="1"/>
  <c r="K870" i="1"/>
  <c r="L889" i="1"/>
  <c r="L873" i="1"/>
  <c r="K884" i="1"/>
  <c r="K868" i="1"/>
  <c r="K907" i="1"/>
  <c r="K875" i="1"/>
  <c r="K867" i="1"/>
  <c r="L722" i="1"/>
  <c r="K775" i="1"/>
  <c r="K730" i="1"/>
  <c r="K888" i="1"/>
  <c r="K872" i="1"/>
  <c r="K899" i="1"/>
  <c r="K879" i="1"/>
  <c r="L911" i="1"/>
  <c r="L903" i="1"/>
  <c r="K910" i="1"/>
  <c r="K902" i="1"/>
  <c r="L874" i="1"/>
  <c r="K885" i="1"/>
  <c r="K869" i="1"/>
  <c r="L896" i="1"/>
  <c r="L880" i="1"/>
  <c r="L887" i="1"/>
  <c r="L871" i="1"/>
  <c r="L746" i="1"/>
  <c r="K755" i="1"/>
  <c r="K773" i="1"/>
  <c r="K886" i="1"/>
  <c r="J912" i="1"/>
  <c r="K876" i="1"/>
  <c r="L862" i="1"/>
  <c r="L858" i="1"/>
  <c r="L854" i="1"/>
  <c r="L850" i="1"/>
  <c r="L846" i="1"/>
  <c r="L842" i="1"/>
  <c r="L838" i="1"/>
  <c r="L834" i="1"/>
  <c r="L830" i="1"/>
  <c r="L826" i="1"/>
  <c r="L822" i="1"/>
  <c r="L818" i="1"/>
  <c r="L814" i="1"/>
  <c r="L810" i="1"/>
  <c r="L806" i="1"/>
  <c r="L802" i="1"/>
  <c r="L798" i="1"/>
  <c r="L794" i="1"/>
  <c r="L892" i="1"/>
  <c r="L883" i="1"/>
  <c r="L769" i="1"/>
  <c r="L765" i="1"/>
  <c r="L761" i="1"/>
  <c r="L757" i="1"/>
  <c r="L753" i="1"/>
  <c r="L749" i="1"/>
  <c r="L745" i="1"/>
  <c r="K852" i="1"/>
  <c r="K824" i="1"/>
  <c r="K808" i="1"/>
  <c r="K779" i="1"/>
  <c r="K759" i="1"/>
  <c r="K840" i="1"/>
  <c r="K736" i="1"/>
  <c r="K878" i="1"/>
  <c r="K877" i="1"/>
  <c r="K891" i="1"/>
  <c r="L776" i="1"/>
  <c r="L772" i="1"/>
  <c r="L740" i="1"/>
  <c r="L732" i="1"/>
  <c r="L728" i="1"/>
  <c r="L724" i="1"/>
  <c r="L720" i="1"/>
  <c r="K844" i="1"/>
  <c r="K820" i="1"/>
  <c r="K804" i="1"/>
  <c r="K774" i="1"/>
  <c r="K864" i="1"/>
  <c r="K832" i="1"/>
  <c r="K894" i="1"/>
  <c r="K893" i="1"/>
  <c r="L860" i="1"/>
  <c r="L856" i="1"/>
  <c r="L848" i="1"/>
  <c r="L836" i="1"/>
  <c r="L828" i="1"/>
  <c r="L816" i="1"/>
  <c r="L812" i="1"/>
  <c r="L800" i="1"/>
  <c r="L796" i="1"/>
  <c r="L767" i="1"/>
  <c r="L751" i="1"/>
  <c r="K720" i="1"/>
  <c r="K717" i="1"/>
  <c r="L707" i="1"/>
  <c r="I490" i="1"/>
  <c r="J477" i="1"/>
  <c r="J490" i="1" s="1"/>
  <c r="K912" i="1" l="1"/>
  <c r="L912" i="1"/>
  <c r="I474" i="1"/>
  <c r="H474" i="1"/>
  <c r="G474" i="1"/>
  <c r="F474" i="1"/>
  <c r="J473" i="1"/>
  <c r="J472" i="1"/>
  <c r="J471" i="1"/>
  <c r="J470" i="1"/>
  <c r="J469" i="1"/>
  <c r="J468" i="1"/>
  <c r="J467" i="1"/>
  <c r="J466" i="1"/>
  <c r="J465" i="1"/>
  <c r="J474" i="1" l="1"/>
  <c r="I430" i="1" l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29" i="1"/>
  <c r="J462" i="1"/>
  <c r="H462" i="1"/>
  <c r="G462" i="1"/>
  <c r="F462" i="1"/>
  <c r="J426" i="1"/>
  <c r="I426" i="1"/>
  <c r="H426" i="1"/>
  <c r="G426" i="1"/>
  <c r="F426" i="1"/>
  <c r="J417" i="1"/>
  <c r="H417" i="1"/>
  <c r="G417" i="1"/>
  <c r="F417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J369" i="1"/>
  <c r="I369" i="1"/>
  <c r="H369" i="1"/>
  <c r="G369" i="1"/>
  <c r="F369" i="1"/>
  <c r="J358" i="1"/>
  <c r="I358" i="1"/>
  <c r="H358" i="1"/>
  <c r="G358" i="1"/>
  <c r="F358" i="1"/>
  <c r="J330" i="1"/>
  <c r="H330" i="1"/>
  <c r="G330" i="1"/>
  <c r="F330" i="1"/>
  <c r="I329" i="1"/>
  <c r="L329" i="1" s="1"/>
  <c r="I328" i="1"/>
  <c r="K328" i="1" s="1"/>
  <c r="I327" i="1"/>
  <c r="K327" i="1" s="1"/>
  <c r="I326" i="1"/>
  <c r="K326" i="1" s="1"/>
  <c r="I325" i="1"/>
  <c r="L325" i="1" s="1"/>
  <c r="I324" i="1"/>
  <c r="K324" i="1" s="1"/>
  <c r="I323" i="1"/>
  <c r="K323" i="1" s="1"/>
  <c r="I322" i="1"/>
  <c r="L322" i="1" s="1"/>
  <c r="I321" i="1"/>
  <c r="L321" i="1" s="1"/>
  <c r="I320" i="1"/>
  <c r="K320" i="1" s="1"/>
  <c r="I319" i="1"/>
  <c r="K319" i="1" s="1"/>
  <c r="I318" i="1"/>
  <c r="L318" i="1" s="1"/>
  <c r="I317" i="1"/>
  <c r="L317" i="1" s="1"/>
  <c r="I316" i="1"/>
  <c r="K316" i="1" s="1"/>
  <c r="I315" i="1"/>
  <c r="K315" i="1" s="1"/>
  <c r="I314" i="1"/>
  <c r="L314" i="1" s="1"/>
  <c r="I313" i="1"/>
  <c r="L313" i="1" s="1"/>
  <c r="I312" i="1"/>
  <c r="K312" i="1" s="1"/>
  <c r="I311" i="1"/>
  <c r="K311" i="1" s="1"/>
  <c r="I310" i="1"/>
  <c r="L310" i="1" s="1"/>
  <c r="I309" i="1"/>
  <c r="K309" i="1" s="1"/>
  <c r="I308" i="1"/>
  <c r="K308" i="1" s="1"/>
  <c r="I307" i="1"/>
  <c r="L307" i="1" s="1"/>
  <c r="I306" i="1"/>
  <c r="L306" i="1" s="1"/>
  <c r="I305" i="1"/>
  <c r="K305" i="1" s="1"/>
  <c r="I304" i="1"/>
  <c r="K304" i="1" s="1"/>
  <c r="I303" i="1"/>
  <c r="L303" i="1" s="1"/>
  <c r="I302" i="1"/>
  <c r="L302" i="1" s="1"/>
  <c r="I301" i="1"/>
  <c r="K301" i="1" s="1"/>
  <c r="I300" i="1"/>
  <c r="K300" i="1" s="1"/>
  <c r="I299" i="1"/>
  <c r="K299" i="1" s="1"/>
  <c r="I298" i="1"/>
  <c r="L298" i="1" s="1"/>
  <c r="I297" i="1"/>
  <c r="K297" i="1" s="1"/>
  <c r="I296" i="1"/>
  <c r="K296" i="1" s="1"/>
  <c r="I295" i="1"/>
  <c r="L295" i="1" s="1"/>
  <c r="I294" i="1"/>
  <c r="K294" i="1" s="1"/>
  <c r="I293" i="1"/>
  <c r="K293" i="1" s="1"/>
  <c r="I292" i="1"/>
  <c r="L292" i="1" s="1"/>
  <c r="I291" i="1"/>
  <c r="L291" i="1" s="1"/>
  <c r="I290" i="1"/>
  <c r="K290" i="1" s="1"/>
  <c r="I289" i="1"/>
  <c r="K289" i="1" s="1"/>
  <c r="I288" i="1"/>
  <c r="L288" i="1" s="1"/>
  <c r="I287" i="1"/>
  <c r="L287" i="1" s="1"/>
  <c r="I286" i="1"/>
  <c r="K286" i="1" s="1"/>
  <c r="I285" i="1"/>
  <c r="K285" i="1" s="1"/>
  <c r="I284" i="1"/>
  <c r="K284" i="1" s="1"/>
  <c r="I283" i="1"/>
  <c r="L283" i="1" s="1"/>
  <c r="I282" i="1"/>
  <c r="K282" i="1" s="1"/>
  <c r="I281" i="1"/>
  <c r="K281" i="1" s="1"/>
  <c r="I280" i="1"/>
  <c r="K280" i="1" s="1"/>
  <c r="I279" i="1"/>
  <c r="L279" i="1" s="1"/>
  <c r="I278" i="1"/>
  <c r="K278" i="1" s="1"/>
  <c r="I277" i="1"/>
  <c r="L277" i="1" s="1"/>
  <c r="I276" i="1"/>
  <c r="L276" i="1" s="1"/>
  <c r="I275" i="1"/>
  <c r="K275" i="1" s="1"/>
  <c r="I274" i="1"/>
  <c r="K274" i="1" s="1"/>
  <c r="I273" i="1"/>
  <c r="L273" i="1" s="1"/>
  <c r="I272" i="1"/>
  <c r="L272" i="1" s="1"/>
  <c r="I271" i="1"/>
  <c r="K271" i="1" s="1"/>
  <c r="I270" i="1"/>
  <c r="K270" i="1" s="1"/>
  <c r="I269" i="1"/>
  <c r="L269" i="1" s="1"/>
  <c r="I268" i="1"/>
  <c r="L268" i="1" s="1"/>
  <c r="I267" i="1"/>
  <c r="K267" i="1" s="1"/>
  <c r="I266" i="1"/>
  <c r="K266" i="1" s="1"/>
  <c r="I265" i="1"/>
  <c r="L265" i="1" s="1"/>
  <c r="I264" i="1"/>
  <c r="L264" i="1" s="1"/>
  <c r="I263" i="1"/>
  <c r="K263" i="1" s="1"/>
  <c r="I262" i="1"/>
  <c r="K262" i="1" s="1"/>
  <c r="I261" i="1"/>
  <c r="L261" i="1" s="1"/>
  <c r="I260" i="1"/>
  <c r="L260" i="1" s="1"/>
  <c r="I259" i="1"/>
  <c r="K259" i="1" s="1"/>
  <c r="I417" i="1" l="1"/>
  <c r="I462" i="1"/>
  <c r="K261" i="1"/>
  <c r="L326" i="1"/>
  <c r="L266" i="1"/>
  <c r="K269" i="1"/>
  <c r="L327" i="1"/>
  <c r="L289" i="1"/>
  <c r="K292" i="1"/>
  <c r="L299" i="1"/>
  <c r="L284" i="1"/>
  <c r="L304" i="1"/>
  <c r="K307" i="1"/>
  <c r="K314" i="1"/>
  <c r="L281" i="1"/>
  <c r="L312" i="1"/>
  <c r="L274" i="1"/>
  <c r="K277" i="1"/>
  <c r="L296" i="1"/>
  <c r="L311" i="1"/>
  <c r="L319" i="1"/>
  <c r="K322" i="1"/>
  <c r="L280" i="1"/>
  <c r="L270" i="1"/>
  <c r="K273" i="1"/>
  <c r="L285" i="1"/>
  <c r="K288" i="1"/>
  <c r="L300" i="1"/>
  <c r="K303" i="1"/>
  <c r="L315" i="1"/>
  <c r="K318" i="1"/>
  <c r="I330" i="1"/>
  <c r="L262" i="1"/>
  <c r="K265" i="1"/>
  <c r="L278" i="1"/>
  <c r="L293" i="1"/>
  <c r="L308" i="1"/>
  <c r="L323" i="1"/>
  <c r="L259" i="1"/>
  <c r="L263" i="1"/>
  <c r="L267" i="1"/>
  <c r="L271" i="1"/>
  <c r="L275" i="1"/>
  <c r="L282" i="1"/>
  <c r="L286" i="1"/>
  <c r="L290" i="1"/>
  <c r="L294" i="1"/>
  <c r="L297" i="1"/>
  <c r="L301" i="1"/>
  <c r="L305" i="1"/>
  <c r="L309" i="1"/>
  <c r="L316" i="1"/>
  <c r="L320" i="1"/>
  <c r="L324" i="1"/>
  <c r="L328" i="1"/>
  <c r="K268" i="1"/>
  <c r="K272" i="1"/>
  <c r="K276" i="1"/>
  <c r="K279" i="1"/>
  <c r="K283" i="1"/>
  <c r="K287" i="1"/>
  <c r="K291" i="1"/>
  <c r="K295" i="1"/>
  <c r="K298" i="1"/>
  <c r="K302" i="1"/>
  <c r="K306" i="1"/>
  <c r="K310" i="1"/>
  <c r="K313" i="1"/>
  <c r="K317" i="1"/>
  <c r="K321" i="1"/>
  <c r="K325" i="1"/>
  <c r="K329" i="1"/>
  <c r="K260" i="1"/>
  <c r="K264" i="1"/>
  <c r="K330" i="1" l="1"/>
  <c r="L330" i="1"/>
  <c r="G198" i="1" l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47" i="1"/>
  <c r="J247" i="1" s="1"/>
  <c r="F228" i="1"/>
  <c r="H220" i="1"/>
  <c r="F245" i="1"/>
  <c r="I223" i="1"/>
  <c r="J223" i="1" s="1"/>
  <c r="H179" i="1"/>
  <c r="H193" i="1"/>
  <c r="I76" i="1"/>
  <c r="J76" i="1" s="1"/>
  <c r="I75" i="1"/>
  <c r="J75" i="1" s="1"/>
  <c r="I70" i="1"/>
  <c r="J70" i="1" s="1"/>
  <c r="I64" i="1"/>
  <c r="J64" i="1" s="1"/>
  <c r="I93" i="1"/>
  <c r="J93" i="1" s="1"/>
  <c r="H11" i="1"/>
  <c r="H218" i="1" l="1"/>
  <c r="H217" i="1"/>
  <c r="H216" i="1"/>
  <c r="H215" i="1"/>
  <c r="H214" i="1"/>
  <c r="I213" i="1"/>
  <c r="J213" i="1" s="1"/>
  <c r="I212" i="1"/>
  <c r="J212" i="1" s="1"/>
  <c r="I211" i="1"/>
  <c r="J211" i="1" s="1"/>
  <c r="H209" i="1"/>
  <c r="I210" i="1"/>
  <c r="J210" i="1" s="1"/>
  <c r="H208" i="1"/>
  <c r="H207" i="1"/>
  <c r="I206" i="1"/>
  <c r="J206" i="1" s="1"/>
  <c r="I205" i="1"/>
  <c r="J205" i="1" s="1"/>
  <c r="H204" i="1"/>
  <c r="H203" i="1"/>
  <c r="H202" i="1"/>
  <c r="I201" i="1"/>
  <c r="J201" i="1" s="1"/>
  <c r="H200" i="1"/>
  <c r="H198" i="1"/>
  <c r="F198" i="1"/>
  <c r="I197" i="1"/>
  <c r="J197" i="1" s="1"/>
  <c r="I196" i="1"/>
  <c r="J196" i="1" s="1"/>
  <c r="H194" i="1"/>
  <c r="H192" i="1"/>
  <c r="F192" i="1"/>
  <c r="I192" i="1" l="1"/>
  <c r="J192" i="1" s="1"/>
  <c r="G191" i="1"/>
  <c r="H191" i="1"/>
  <c r="H190" i="1"/>
  <c r="I189" i="1"/>
  <c r="J189" i="1" s="1"/>
  <c r="F188" i="1"/>
  <c r="H188" i="1"/>
  <c r="H187" i="1"/>
  <c r="H184" i="1"/>
  <c r="H183" i="1"/>
  <c r="H182" i="1"/>
  <c r="I181" i="1"/>
  <c r="J181" i="1" s="1"/>
  <c r="I180" i="1"/>
  <c r="J180" i="1" s="1"/>
  <c r="F179" i="1"/>
  <c r="I178" i="1"/>
  <c r="J178" i="1" s="1"/>
  <c r="H174" i="1"/>
  <c r="H231" i="1"/>
  <c r="H227" i="1"/>
  <c r="H171" i="1"/>
  <c r="H170" i="1"/>
  <c r="H169" i="1"/>
  <c r="H168" i="1"/>
  <c r="H167" i="1"/>
  <c r="H166" i="1"/>
  <c r="H165" i="1"/>
  <c r="G164" i="1"/>
  <c r="H164" i="1"/>
  <c r="H163" i="1"/>
  <c r="H162" i="1"/>
  <c r="H161" i="1"/>
  <c r="H160" i="1"/>
  <c r="H159" i="1"/>
  <c r="H158" i="1"/>
  <c r="H94" i="1"/>
  <c r="I81" i="1"/>
  <c r="J81" i="1" s="1"/>
  <c r="G80" i="1"/>
  <c r="G79" i="1"/>
  <c r="I17" i="1"/>
  <c r="J17" i="1" s="1"/>
  <c r="I188" i="1" l="1"/>
  <c r="J188" i="1" s="1"/>
  <c r="I175" i="1"/>
  <c r="J175" i="1" s="1"/>
  <c r="I176" i="1"/>
  <c r="J176" i="1" s="1"/>
  <c r="I177" i="1"/>
  <c r="J177" i="1" s="1"/>
  <c r="I221" i="1"/>
  <c r="J221" i="1" s="1"/>
  <c r="I222" i="1"/>
  <c r="J222" i="1" s="1"/>
  <c r="I224" i="1"/>
  <c r="J224" i="1" s="1"/>
  <c r="I225" i="1"/>
  <c r="J225" i="1" s="1"/>
  <c r="I226" i="1"/>
  <c r="J226" i="1" s="1"/>
  <c r="I228" i="1"/>
  <c r="J228" i="1" s="1"/>
  <c r="I229" i="1"/>
  <c r="J229" i="1" s="1"/>
  <c r="I230" i="1"/>
  <c r="J230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6" i="1"/>
  <c r="J246" i="1" s="1"/>
  <c r="G245" i="1"/>
  <c r="H244" i="1"/>
  <c r="I231" i="1"/>
  <c r="I227" i="1"/>
  <c r="G220" i="1"/>
  <c r="F219" i="1"/>
  <c r="F165" i="1"/>
  <c r="I244" i="1" l="1"/>
  <c r="J244" i="1" s="1"/>
  <c r="I245" i="1"/>
  <c r="J245" i="1" s="1"/>
  <c r="I220" i="1"/>
  <c r="J220" i="1" s="1"/>
  <c r="I219" i="1"/>
  <c r="J219" i="1" s="1"/>
  <c r="J231" i="1"/>
  <c r="J227" i="1"/>
  <c r="I165" i="1"/>
  <c r="J165" i="1" s="1"/>
  <c r="G167" i="1" l="1"/>
  <c r="F162" i="1"/>
  <c r="G159" i="1"/>
  <c r="I20" i="1" l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5" i="1"/>
  <c r="J65" i="1" s="1"/>
  <c r="I66" i="1"/>
  <c r="J66" i="1" s="1"/>
  <c r="I67" i="1"/>
  <c r="J67" i="1" s="1"/>
  <c r="I68" i="1"/>
  <c r="J68" i="1" s="1"/>
  <c r="I69" i="1"/>
  <c r="J69" i="1" s="1"/>
  <c r="I71" i="1"/>
  <c r="J71" i="1" s="1"/>
  <c r="I72" i="1"/>
  <c r="J72" i="1" s="1"/>
  <c r="I73" i="1"/>
  <c r="J73" i="1" s="1"/>
  <c r="I74" i="1"/>
  <c r="J74" i="1" s="1"/>
  <c r="I77" i="1"/>
  <c r="J77" i="1" s="1"/>
  <c r="I78" i="1"/>
  <c r="J78" i="1" s="1"/>
  <c r="I95" i="1"/>
  <c r="J95" i="1" s="1"/>
  <c r="G94" i="1"/>
  <c r="I84" i="1"/>
  <c r="J84" i="1" s="1"/>
  <c r="G83" i="1"/>
  <c r="H35" i="1"/>
  <c r="I19" i="1"/>
  <c r="J19" i="1" s="1"/>
  <c r="I15" i="1"/>
  <c r="J15" i="1" s="1"/>
  <c r="I12" i="1"/>
  <c r="I35" i="1" l="1"/>
  <c r="J35" i="1" s="1"/>
  <c r="J12" i="1"/>
  <c r="F218" i="1" l="1"/>
  <c r="F217" i="1"/>
  <c r="F216" i="1"/>
  <c r="F215" i="1"/>
  <c r="F214" i="1"/>
  <c r="F209" i="1"/>
  <c r="I208" i="1"/>
  <c r="J208" i="1" s="1"/>
  <c r="F207" i="1"/>
  <c r="F204" i="1"/>
  <c r="F203" i="1"/>
  <c r="I202" i="1"/>
  <c r="J202" i="1" s="1"/>
  <c r="I200" i="1"/>
  <c r="J200" i="1" s="1"/>
  <c r="F199" i="1"/>
  <c r="I195" i="1"/>
  <c r="J195" i="1" s="1"/>
  <c r="F194" i="1"/>
  <c r="F193" i="1"/>
  <c r="F191" i="1"/>
  <c r="F190" i="1"/>
  <c r="F187" i="1"/>
  <c r="I186" i="1"/>
  <c r="J186" i="1" s="1"/>
  <c r="G185" i="1"/>
  <c r="F184" i="1"/>
  <c r="F183" i="1"/>
  <c r="F182" i="1"/>
  <c r="G179" i="1"/>
  <c r="F174" i="1"/>
  <c r="J173" i="1"/>
  <c r="I172" i="1"/>
  <c r="J172" i="1" s="1"/>
  <c r="F171" i="1"/>
  <c r="F170" i="1"/>
  <c r="F169" i="1"/>
  <c r="F168" i="1"/>
  <c r="F167" i="1"/>
  <c r="F166" i="1"/>
  <c r="F164" i="1"/>
  <c r="F163" i="1"/>
  <c r="F161" i="1"/>
  <c r="F160" i="1"/>
  <c r="F158" i="1"/>
  <c r="I157" i="1"/>
  <c r="J157" i="1" s="1"/>
  <c r="I156" i="1"/>
  <c r="J156" i="1" s="1"/>
  <c r="H155" i="1"/>
  <c r="H154" i="1"/>
  <c r="H153" i="1"/>
  <c r="I152" i="1"/>
  <c r="J152" i="1" s="1"/>
  <c r="I151" i="1"/>
  <c r="J151" i="1" s="1"/>
  <c r="I150" i="1"/>
  <c r="J150" i="1" s="1"/>
  <c r="I149" i="1"/>
  <c r="J149" i="1" s="1"/>
  <c r="I148" i="1"/>
  <c r="J148" i="1" s="1"/>
  <c r="I147" i="1"/>
  <c r="J147" i="1" s="1"/>
  <c r="I146" i="1"/>
  <c r="J146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I131" i="1"/>
  <c r="J131" i="1" s="1"/>
  <c r="I130" i="1"/>
  <c r="J130" i="1" s="1"/>
  <c r="I129" i="1"/>
  <c r="J129" i="1" s="1"/>
  <c r="I128" i="1"/>
  <c r="J128" i="1" s="1"/>
  <c r="I127" i="1"/>
  <c r="J127" i="1" s="1"/>
  <c r="I126" i="1"/>
  <c r="J126" i="1" s="1"/>
  <c r="I125" i="1"/>
  <c r="J125" i="1" s="1"/>
  <c r="I124" i="1"/>
  <c r="J124" i="1" s="1"/>
  <c r="I123" i="1"/>
  <c r="J123" i="1" s="1"/>
  <c r="I122" i="1"/>
  <c r="J122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H98" i="1"/>
  <c r="H97" i="1"/>
  <c r="H96" i="1"/>
  <c r="F94" i="1"/>
  <c r="F92" i="1"/>
  <c r="H91" i="1"/>
  <c r="H90" i="1"/>
  <c r="H89" i="1"/>
  <c r="H88" i="1"/>
  <c r="H87" i="1"/>
  <c r="H86" i="1"/>
  <c r="H85" i="1"/>
  <c r="H83" i="1"/>
  <c r="I82" i="1"/>
  <c r="J82" i="1" s="1"/>
  <c r="H80" i="1"/>
  <c r="F80" i="1"/>
  <c r="F79" i="1"/>
  <c r="I18" i="1"/>
  <c r="J18" i="1" s="1"/>
  <c r="I16" i="1"/>
  <c r="J16" i="1" s="1"/>
  <c r="I14" i="1"/>
  <c r="J14" i="1" s="1"/>
  <c r="I13" i="1"/>
  <c r="I11" i="1"/>
  <c r="I153" i="1" l="1"/>
  <c r="J153" i="1" s="1"/>
  <c r="I182" i="1"/>
  <c r="J182" i="1" s="1"/>
  <c r="I193" i="1"/>
  <c r="J193" i="1" s="1"/>
  <c r="I79" i="1"/>
  <c r="J79" i="1" s="1"/>
  <c r="F255" i="1"/>
  <c r="F1777" i="1" s="1"/>
  <c r="I83" i="1"/>
  <c r="J83" i="1" s="1"/>
  <c r="I88" i="1"/>
  <c r="J88" i="1" s="1"/>
  <c r="I92" i="1"/>
  <c r="J92" i="1" s="1"/>
  <c r="I98" i="1"/>
  <c r="J98" i="1" s="1"/>
  <c r="I154" i="1"/>
  <c r="J154" i="1" s="1"/>
  <c r="I183" i="1"/>
  <c r="J183" i="1" s="1"/>
  <c r="I216" i="1"/>
  <c r="J216" i="1" s="1"/>
  <c r="I87" i="1"/>
  <c r="J87" i="1" s="1"/>
  <c r="I91" i="1"/>
  <c r="J91" i="1" s="1"/>
  <c r="I97" i="1"/>
  <c r="J97" i="1" s="1"/>
  <c r="I85" i="1"/>
  <c r="J85" i="1" s="1"/>
  <c r="I89" i="1"/>
  <c r="J89" i="1" s="1"/>
  <c r="I155" i="1"/>
  <c r="J155" i="1" s="1"/>
  <c r="I184" i="1"/>
  <c r="J184" i="1" s="1"/>
  <c r="I190" i="1"/>
  <c r="J190" i="1" s="1"/>
  <c r="I203" i="1"/>
  <c r="J203" i="1" s="1"/>
  <c r="I209" i="1"/>
  <c r="J209" i="1" s="1"/>
  <c r="H255" i="1"/>
  <c r="H1777" i="1" s="1"/>
  <c r="I86" i="1"/>
  <c r="J86" i="1" s="1"/>
  <c r="I90" i="1"/>
  <c r="J90" i="1" s="1"/>
  <c r="I96" i="1"/>
  <c r="J96" i="1" s="1"/>
  <c r="G255" i="1"/>
  <c r="G1777" i="1" s="1"/>
  <c r="I185" i="1"/>
  <c r="J185" i="1" s="1"/>
  <c r="I199" i="1"/>
  <c r="J199" i="1" s="1"/>
  <c r="I214" i="1"/>
  <c r="J214" i="1" s="1"/>
  <c r="I218" i="1"/>
  <c r="J218" i="1" s="1"/>
  <c r="J13" i="1"/>
  <c r="I215" i="1"/>
  <c r="J215" i="1" s="1"/>
  <c r="J11" i="1"/>
  <c r="I217" i="1"/>
  <c r="J217" i="1" s="1"/>
  <c r="I167" i="1"/>
  <c r="J167" i="1" s="1"/>
  <c r="I169" i="1"/>
  <c r="J169" i="1" s="1"/>
  <c r="I171" i="1"/>
  <c r="J171" i="1" s="1"/>
  <c r="I204" i="1"/>
  <c r="J204" i="1" s="1"/>
  <c r="I161" i="1"/>
  <c r="J161" i="1" s="1"/>
  <c r="I164" i="1"/>
  <c r="J164" i="1" s="1"/>
  <c r="I166" i="1"/>
  <c r="J166" i="1" s="1"/>
  <c r="I162" i="1"/>
  <c r="J162" i="1" s="1"/>
  <c r="I187" i="1"/>
  <c r="J187" i="1" s="1"/>
  <c r="I158" i="1"/>
  <c r="J158" i="1" s="1"/>
  <c r="I160" i="1"/>
  <c r="J160" i="1" s="1"/>
  <c r="I163" i="1"/>
  <c r="J163" i="1" s="1"/>
  <c r="I198" i="1"/>
  <c r="J198" i="1" s="1"/>
  <c r="I159" i="1"/>
  <c r="J159" i="1" s="1"/>
  <c r="I191" i="1"/>
  <c r="J191" i="1" s="1"/>
  <c r="I207" i="1"/>
  <c r="J207" i="1" s="1"/>
  <c r="I80" i="1"/>
  <c r="J80" i="1" s="1"/>
  <c r="I179" i="1"/>
  <c r="J179" i="1" s="1"/>
  <c r="I194" i="1"/>
  <c r="J194" i="1" s="1"/>
  <c r="I94" i="1"/>
  <c r="J94" i="1" s="1"/>
  <c r="I168" i="1"/>
  <c r="J168" i="1" s="1"/>
  <c r="I170" i="1"/>
  <c r="J170" i="1" s="1"/>
  <c r="I174" i="1"/>
  <c r="J174" i="1" s="1"/>
  <c r="I255" i="1" l="1"/>
  <c r="I1777" i="1" s="1"/>
  <c r="J255" i="1" l="1"/>
  <c r="J1777" i="1" s="1"/>
</calcChain>
</file>

<file path=xl/comments1.xml><?xml version="1.0" encoding="utf-8"?>
<comments xmlns="http://schemas.openxmlformats.org/spreadsheetml/2006/main">
  <authors>
    <author/>
    <author>Печенюк Наталья Викторовна</author>
  </authors>
  <commentList>
    <comment ref="D14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romancova:
</t>
        </r>
        <r>
          <rPr>
            <sz val="9"/>
            <color indexed="8"/>
            <rFont val="Tahoma"/>
            <family val="2"/>
            <charset val="204"/>
          </rPr>
          <t>строительство не ведется!</t>
        </r>
      </text>
    </comment>
    <comment ref="G239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Перенесла в ПИР</t>
        </r>
      </text>
    </comment>
    <comment ref="H239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Перенесла в ПИР</t>
        </r>
      </text>
    </comment>
  </commentList>
</comments>
</file>

<file path=xl/sharedStrings.xml><?xml version="1.0" encoding="utf-8"?>
<sst xmlns="http://schemas.openxmlformats.org/spreadsheetml/2006/main" count="2084" uniqueCount="1873">
  <si>
    <t>Г-ввод ул.Добролюбова,90,г.Новочеркасск от г-да по ул.Добролюбова, Новочеркасск, аренда</t>
  </si>
  <si>
    <t>Г-ввод ул.Октябрьская,78, г.Новочеркасск к г-ду ул.Октябрьская,г.Новочеркасск, аренда</t>
  </si>
  <si>
    <t>МГВД от х.Конезавод до х. Юловский, Сальский район</t>
  </si>
  <si>
    <t>РГ с.Подгорное,Ремонтненский район</t>
  </si>
  <si>
    <t>РГ х.Киевка, Ремонтненский р-н</t>
  </si>
  <si>
    <t>% готовности объекта</t>
  </si>
  <si>
    <t>Дата окончания
 строительства</t>
  </si>
  <si>
    <t>Здание админ-быт ПБ ул.5-линия, 14, с.Чалтырь, Мясниковского района (1 этап)</t>
  </si>
  <si>
    <t>Объект</t>
  </si>
  <si>
    <t>Срок начала строительства</t>
  </si>
  <si>
    <t>Прочие</t>
  </si>
  <si>
    <t>Стоимость, руб фактически по данным первичных  документов</t>
  </si>
  <si>
    <t>Стоимость, руб  по данным  бухгалтерского учета</t>
  </si>
  <si>
    <t>Результаты инвентаризации излишки</t>
  </si>
  <si>
    <t>Результаты инвентаризации недостача</t>
  </si>
  <si>
    <t>АСДУ газовой системы, пр.Кировский, д. 40а, г.Ростов-на-Дону</t>
  </si>
  <si>
    <t xml:space="preserve">СМР
</t>
  </si>
  <si>
    <t xml:space="preserve">Проектные
</t>
  </si>
  <si>
    <t>Филиалы</t>
  </si>
  <si>
    <t xml:space="preserve">ГВД п.Ремонтное до х.Киевка, Ремонтненский район </t>
  </si>
  <si>
    <t>ГСД (зак) от ГРС-1 до ГРС-2 г.Шахты</t>
  </si>
  <si>
    <t>ГСД (зак) от п.Смагин до п.Наклонная,г.Шахты</t>
  </si>
  <si>
    <t>База отдыха п.Конезавод им.Буденного,Сальского района</t>
  </si>
  <si>
    <t>Здание автогаража ул.Ворошилова, 217, г. Морозовск, инв. 21-1000</t>
  </si>
  <si>
    <t>Г-вводы для подключ.тепличного комбината "Донской"расп.на терр-и бывш.совх.Кривянский,Октябрьский р-</t>
  </si>
  <si>
    <t>Г-ввод 20 пер., д.50, г.Таганрог к ГНД 19 пер., г.Таганрог, аренда</t>
  </si>
  <si>
    <t>Г-ввод ул.Ефремова,45,г.Новочерскасск от г-да по ул.Ефремова,г.Новочеркасск,аренда</t>
  </si>
  <si>
    <t>Г-ввод ул.Степная,78,г.Новочеркасск к ГНД по ул.Степная,г.Новочеркасск, аренда</t>
  </si>
  <si>
    <t>Склад по адресу: ул.Дружбы,д.18, г.Азов</t>
  </si>
  <si>
    <t>ГВД от ГРС г. Азова с переподкл.п.Новоалександровка,с.Кулеш,х.Высоч, Азовского р,зак.г/п,протяж.3,0к</t>
  </si>
  <si>
    <t>РГ х.Маныч Орловского района</t>
  </si>
  <si>
    <t>Рек.РГ от ШРП № 3, 55 в пос.шахты Антрацит г.Гуково Ростовская область,общая протяженность 8,0 км: П</t>
  </si>
  <si>
    <t>Г-ввод для подкл.объекта:Жилые дома по северной границе п."Приазовье",с.Новоалександ, Азовского р-на</t>
  </si>
  <si>
    <t>Производственное здание д.26, ул. Мира, г. Зерноград литер А,инв 15-10039</t>
  </si>
  <si>
    <t xml:space="preserve">Г-ввод для подкл.объекта кап.строительства по адресу: Г.Донецк,пр-кт Ленина,35Г </t>
  </si>
  <si>
    <t>Г-ввод к жилому комплексу пер.Парковый,4, г.Таганрог</t>
  </si>
  <si>
    <t>Г-ввод РГВНД с ГРПШ для г-и ж.д.квартала №4 ст "Виноград",ст. Грушевская, Аксайский район</t>
  </si>
  <si>
    <t>ГПСД от угла стр № 50 ул. Строителей, г. Зерноград,инв.15-50774</t>
  </si>
  <si>
    <t>Г-ввод 5-й Линейный проезд,167,г.Таганрог к ГАЗ/П-26НД12940,18Р.ЛЮКСЕМБУРГ, аренда</t>
  </si>
  <si>
    <t>Г-ввод ДНТЭнтузиаст-2,48с.Николаевка ВНГ с.Николаевка.ГаевкаАГРС Троицкое,Неклиновский р,аренда</t>
  </si>
  <si>
    <t>Г-ввод пер.16 Артеллерийский,61, г.Таганрог к ГНД 20057,37 м.Гончарная,г.Таганрог,аренда</t>
  </si>
  <si>
    <t>Г-ввод ул.Адмир.Крюйса,2-15,г.Таганрог к ГАЗСДП272,5м. ул.Адм. Крюйса2-а,аренда</t>
  </si>
  <si>
    <t>Г-ввод ул.Дачная,203, г.Таганрог к ГАЗНд 811м Дач.новый. г. Таганрог, аренда</t>
  </si>
  <si>
    <t>Г-ввод ул.И.Голубца,13,г.Таганрог к ГАЗ НД 600м ТРП7АРТ ДЗЕРЖг.Таганрог,аренда</t>
  </si>
  <si>
    <t>Г-ввод ул.Кольцовская,81,г.Таганрог к ГАЗ/П-53 16760,30м Гоголевский,г.Таганрог, аренда</t>
  </si>
  <si>
    <t>Г-ввод ул.Космонавтов,12 к ВНГ ул.Космонав,Гагар,Островск,с.Новобессергеневка,Неклиновский р,аренда</t>
  </si>
  <si>
    <t>Г-ввод ул.Котлостроительная,35,г.Таганрог к ПГСД 146,3 м.ул.Котлостроительная,37,в,г.Таганрог,аренда</t>
  </si>
  <si>
    <t>Г-ввод ул.Металлургич,112/74,г.Таганрог, к ГАЗ/П-11 НД21198М,А.ГЛУШКО, аренда</t>
  </si>
  <si>
    <t>Г-ввод ул.Москатова,6 г.Таганрог к ПГСД 10153,8м. Жуковского, Энгельса,аренда</t>
  </si>
  <si>
    <t>Г-ввод ул.Нестерова,5/Ореховая,1а,г.Таганрог к ГВД 494м, ул.Ореховая,20,ул.Нестер,г.Таганрог,аренда</t>
  </si>
  <si>
    <t>Г-ввод ул.Новостройки,15а к ВМГ ул.Энгельса,Новостр,Стах,с.Петрушино,Неклиновский р-н,аренда</t>
  </si>
  <si>
    <t>Г-ввод ул.Октябрьская,1в,х.Красный десант ПГ ГРС р/к Первомайский,х.Кр.Десан,Неклиновский р,аренда</t>
  </si>
  <si>
    <t>Г-ввод ул.Строителей,1б,с. Троицкое, к ВНГ с. Троиц,сКошкино от АГРС с.Троиц.Неклин, аренда</t>
  </si>
  <si>
    <t>Г-ввод ул.Чехова,353-а,г.Таганрог к ГНД-700м,ул.Чехова,г.Таганрог,аренда</t>
  </si>
  <si>
    <t>ГНД у.Нижняя,Верхняя,Восточная,с. Камышевка, Матвеево-Курганский район,инв.000013229</t>
  </si>
  <si>
    <t>Г-ввод ул.Молодежная,68,п.Российский к ГНД п.Российский,Аксайский район, аренда</t>
  </si>
  <si>
    <t>ГСД пр.Ленина, г. Аксай,инв 000016810</t>
  </si>
  <si>
    <t>ГСНД 9-ый пер. ГРПШ (зак) ул.Красноармейской,ст.Ольгинская, Аксайский р-н,(солнеч.бат) инв. 01-00978</t>
  </si>
  <si>
    <t>ПГСД ул.Садовой,Вартанова,Речникова,г.Аксай, инв.01-00655</t>
  </si>
  <si>
    <t>Г-ввод пр.Платовский,77а,г.Новочеркасск к РГНД по ул.Михайловская,г.Новочеркасск,аренда</t>
  </si>
  <si>
    <t>Г-ввод ул.Октябрьская,152, г.Новочеркасск к г-ду ул.Октябрьская,г.Новочеркасск, аренда</t>
  </si>
  <si>
    <t>ГВНД ул.Булавина, г. Новочеркасск, инв.000014698</t>
  </si>
  <si>
    <t>РГСНД ул.Железнодор.,сп.Герцена,ул.Никольского,пр.Платовский, г.Новочеркасск,инв.00-001101</t>
  </si>
  <si>
    <t>ГНД с ГРПШ в мкр Плодопитомник, Семикаракорск,инв.000013192</t>
  </si>
  <si>
    <t>ПГНД ул.Центральная, х.Пухляковский,Усть-Донецкий район,инв.32-31029</t>
  </si>
  <si>
    <t>ВГ х.Карповка Багаевского р инв. 00-000129</t>
  </si>
  <si>
    <t>Автоматич.сис-ма пож.сигнал.в автом.боксах и производ.помещ., г.Новошахтинск</t>
  </si>
  <si>
    <t>Гараж (рек) (Литер Г1),ул.Мира,26,г.Зерноград,инв.15-10034</t>
  </si>
  <si>
    <t>Парков.зона ул.Калинина,25,г.Белая Калитва,Белокалитвинский р-н</t>
  </si>
  <si>
    <t>Пожарн.сигнл.автом.боксах и произ.ул.Карбышева,60,г.Кр.Сулин,Красносулинский р-н,инв.9-11007</t>
  </si>
  <si>
    <t>Пост пров-ки газоб.оборуд.ул.Гагарина,27,г.Аксай</t>
  </si>
  <si>
    <t>Пост пров-ки газоб.оборуд.ул.Орджоникидзе,14,с.Песчанокопское,Песчанокопский р-н</t>
  </si>
  <si>
    <t>Пост пров-ки газоб.оборуд.ул.Спартака,167,ст.Багаевская,Багаевский р-н</t>
  </si>
  <si>
    <t>Пост пров-ки газоб.оборуд.ул.Трактовая,53, г.Сальк</t>
  </si>
  <si>
    <t>Пост пров-ки газоб.оборуд.ул.Южная,5,г.Батайск</t>
  </si>
  <si>
    <t>Уст-во огр. расхода газа на ГВД с.Чалтырь,ГГРП ул.Луговая,Мясниковский р-н, инв.22-00478</t>
  </si>
  <si>
    <t>МГ х.Золотаревка,х.Павлов,Семикаракорский р-н</t>
  </si>
  <si>
    <t>РГ для газ-и ул.Пионерская,Марата Мечникова,Чернышевского,г.Новошахтинск</t>
  </si>
  <si>
    <t>РГ с.Табунщиково,Красносулинский р-н</t>
  </si>
  <si>
    <t>РГ ул.Южная,К.Цеткин,Пионерская,больница Электровозная,Знамя Поб.Горлова,Войк,г.Новошахтинск</t>
  </si>
  <si>
    <t>РГ х.Виноградный,Усть-Донецкий р-н</t>
  </si>
  <si>
    <t>РГ х.Некрасовка,Неклиновский р-н</t>
  </si>
  <si>
    <t>РГ х.Ольховский,Усть-Донецкий р-н</t>
  </si>
  <si>
    <t>РГ х.Павлов,Семикаракорский р-н</t>
  </si>
  <si>
    <t>РГ х.Сужено,Неклиновский р-н</t>
  </si>
  <si>
    <t>ВГ х.Ракитный,Зерноградский р-н</t>
  </si>
  <si>
    <t>ГВД от ГРС Шахты до сущ.сетей газораспрделения</t>
  </si>
  <si>
    <t>ГНД для газ-и ж.кв.пер.Виноградный,ст.Боковская,Боковский р-н</t>
  </si>
  <si>
    <t>ГНД для газ-и ж. кв. ул.Заречной,пер.Чирский,терновый,Ковыленский,ст.Боковская,Боковский р-н</t>
  </si>
  <si>
    <t>ГНД п.Украинский,Красносулинский р-н</t>
  </si>
  <si>
    <t>ГСНД ГРПБ для газ-ции жд ул.Луначарского,Чехова,Фрунзе,Шестой,Проезд,г.Донец</t>
  </si>
  <si>
    <t>МГ х.Романов,Моисеев,Дубовский р-н</t>
  </si>
  <si>
    <t>РГ от ШРП № 5 п.ш. Антацит,г.Гуково</t>
  </si>
  <si>
    <t>РГ от ШПР № 50-58, п.ш.Октябрьская,г.Гуково</t>
  </si>
  <si>
    <t>РГ от ШРП № 57 в п.ш.№ 24,г.Гуково</t>
  </si>
  <si>
    <t>РГ ул.Колхозная,пер.Садовый,г.Гуково</t>
  </si>
  <si>
    <t>РГ х.Еритовка,Миллеровский р-н</t>
  </si>
  <si>
    <t>РГ х.Моисеев,Дубовский р-н</t>
  </si>
  <si>
    <t>РГНД ул.Красносулинская,Российская,Возрождение,пер.Мартовский,Урожайный,Радостный,Летний,Весенний,г.Гуково</t>
  </si>
  <si>
    <t>РГНД ул.Лесная,Островского,тургенева,Стахановская,Шахтная от ШРП № 51,г.Гуково</t>
  </si>
  <si>
    <t>РГНД х.Михайловский,Верхнедонской р-н</t>
  </si>
  <si>
    <t>РГ г-да х.Малахов,Миллеровский р-н</t>
  </si>
  <si>
    <t>СГ для газ-ции п.Липовка,Тарасовский р-н</t>
  </si>
  <si>
    <t>ГСНД ГРПБ для газ-ции д ул.Пограничная,г.Донецк</t>
  </si>
  <si>
    <t>РГ ул.Молодежная,пер.Западный,Дорожная,дачная,пер.Южный,г.Гуково</t>
  </si>
  <si>
    <t>Г-ввод к объекту: ДНТ "Ивушка", х. Махин, Аксайский район</t>
  </si>
  <si>
    <t>ГВД ул.Свободы от ГГРП до Автовокзала,ст Багаевская,Багаевский р-он,инв.01-00423</t>
  </si>
  <si>
    <t>ГНД х.Елкин,Багаевского района, инв.000013175</t>
  </si>
  <si>
    <t>Г-ввод ул.9 линия,1347, ДНТ "Алмаз", Аксайский р-н,стор.</t>
  </si>
  <si>
    <t>Г-ввод ул.Каскадная,5,п.Реконструктор,Аксайский р-н, стор.</t>
  </si>
  <si>
    <t>Г-ввод ул.Каскадная,7,п.Реконструктор, Аксайский р-н, стор.</t>
  </si>
  <si>
    <t>ПНГНД от выхода ГСД расп в 11,4 м юго-запад угла ГРП № 22 по ул.Ленина в г.Аксай, инв.000015074</t>
  </si>
  <si>
    <t>ГВНД х.Красный Яр Кагальницкий р-н, инв. 00-001996</t>
  </si>
  <si>
    <t>ГВСД ул.Макаренко, Остапенко, Пирогова, Машиностроительная, г.Зерноград, инв 15-70302</t>
  </si>
  <si>
    <t>Г-ввод ул. Пчеловодческая 1а х Морозов к ГВСНД х Морозов Морозовского р-на аренда</t>
  </si>
  <si>
    <t>ГСД ул. Калинина Дербенцева г Морозовск инв. 21-961</t>
  </si>
  <si>
    <t>ПГСД от ГГРП к воен. Город. г Морозовск инв 21-29</t>
  </si>
  <si>
    <t>Г-ввод пер.Тургеневский,84,г. Таганрог к ГАЗ/П-11НД21198м,А.Глушко,аренда</t>
  </si>
  <si>
    <t>Г-ввод ул.Азовская,71, х.Николаево-Козловский ВНГ х.Талалаевский,Никол-Козлов,Неклиновский р-н,аренд</t>
  </si>
  <si>
    <t>Г-ввод ул.Б.Бульварная,13-11, г.Таганрог, к ПГСД ул.Б.Бульварная,г.Таганрог,аренда</t>
  </si>
  <si>
    <t>Г-ввод ул.К.Либкнехта,23,г.Таганрог к г-ду А.Глушко,г.Таганрог,аренда</t>
  </si>
  <si>
    <t>Г-ввод ул.Кавказская,59б,с.Троицкое, ВНГ с.Троицкое,Кошкино.Неклиновский р-н,аренда</t>
  </si>
  <si>
    <t>Г-ввод ул.Кооперативная,39,с.Самбек,к ПГ с.Самбек,ул.Центр,Морск,Подг,Берег,Неклиновский р-н, аренда</t>
  </si>
  <si>
    <t>Г-ввод ул.Маршала Жукова,120,г.Таганрог, к ГНД 3 ЛИНПР 9НОВ,аренда</t>
  </si>
  <si>
    <t>Г-ввод ул.Октябрьская,44а,с.А.Мелентьево, ВНГ ул.Октябр,Первом,Неклиновский р-н,аренда</t>
  </si>
  <si>
    <t>Г-ввод ул.Полевая,8а,с.Федоровка ВНГ с.Федоровка,улНабереКуйбСемаш Неклин р,аренд</t>
  </si>
  <si>
    <t>Г-ввод ул.Солнечная,40 с.Бессергеневка к ВНГ ул.Мирн1 от ШГРП-3 до Социал,с.Бесс, Неклинов р-н,аренд</t>
  </si>
  <si>
    <t>РГ ул.Сарматская,Коллективная,Радужная,Медовая, г.Новочеркасск,инв.00-000231</t>
  </si>
  <si>
    <t>Г-ввод ул.Российская,126А, Миллерово к НГпо ул.Крупская,14-18, г.Миллерово,аренда</t>
  </si>
  <si>
    <t>НПГСНД п.Рассвет к п.Ковалевка и п.Золотой Колос,Аксайский р-н, инв.000015079</t>
  </si>
  <si>
    <t>Г-ввод в границах КСП им.Ленина,оптово-распред.центр,ОРЦ,Аксайский р-н</t>
  </si>
  <si>
    <t>Г-ввод ул.Объездная,9,Культурно-досуговый центр, г.Аксай</t>
  </si>
  <si>
    <t>Г-ввод ул.Производственная,8,АБК,стол.цех,ЖБИ №1,ФПЦ-ВПИ, г.Батайск</t>
  </si>
  <si>
    <t>Г-ввод х.Каменный Брод, асфальтобетонный завод,Родионово-Несветайский р-н</t>
  </si>
  <si>
    <t>ПАО "Газпром газораспределение Ростов-на-Дону" в г.  Аксай</t>
  </si>
  <si>
    <t>Г-ввод ул.Заводская,6, х.Маяковского, Аксайский р-н</t>
  </si>
  <si>
    <t>Г-ввод ул.Косачева,27, п.Степной,Аксайский р-н, стор.</t>
  </si>
  <si>
    <t>ПАО "Газпром газораспределение Ростов-на-Дону" в г. Волгодонске</t>
  </si>
  <si>
    <t>ПАО "Газпром газораспределение Ростов-на-Дону" в г. Зернограде</t>
  </si>
  <si>
    <t>Г-ввод пер.Молодежный,47б, п.Веселый, Веселовский р-н, стор.</t>
  </si>
  <si>
    <t>Г-ввод ул.Механизаторов,10, кв.3 к ГНД п.Юловский, Целинский р-н</t>
  </si>
  <si>
    <t>ГСНД ул.Дзержинского,г.Зерноград,инв.000016169</t>
  </si>
  <si>
    <t>ПГНД ул.Калинина,Октябрьский,Социалистический,ст.Кагальницкая,Кагальницкий р-н, инв.15-45693</t>
  </si>
  <si>
    <t>ПНГНД ул.Зерноградская,Косар,Ввозного,пер.Николь,ул.Береста,п.Дубки,Зерноградский р-н, инв.000016232</t>
  </si>
  <si>
    <t>ПАО "Газпром газораспределение Ростов-на-Дону" в г. Миллерово</t>
  </si>
  <si>
    <t>ПАО "Газпром газораспределение Ростов-на-Дону" в г. Таганроге</t>
  </si>
  <si>
    <t>Г-ввод ДНТ Полет,59,с.Николаевка,Неклиновский р-н, сто.</t>
  </si>
  <si>
    <t>Г-ввод ДСК Сигма,25,с.Николаевка,Неклиновский р-н,стор.</t>
  </si>
  <si>
    <t>Г-ввод НДТ Мичуринец-1, М 61, Николаевское шоссе,7-м, г.Таганрог, стор.</t>
  </si>
  <si>
    <t>Г-ввод Николаевское шоссе,19-1,ДНТ Весна,уч-к 2,г.Таганрог,стор.</t>
  </si>
  <si>
    <t>Г-ввод Николаевское шоссе,7а,аллея 17, уч-к 26, г.Таганрог,стор.</t>
  </si>
  <si>
    <t>Г-ввод пер.Криничный,4а,с.Троицкое,ПГ Кошкино,АГРС,Неклиновский р-н,аренда</t>
  </si>
  <si>
    <t>Г-ввод пер.Некрасова,7а,с.Синявское,ВНГ с.Никол,Гаевка,Неклиновский р-н,аренда</t>
  </si>
  <si>
    <t>Г-ввод СНТ Дачное-1,аллея,9, уч-к 79, г.Таганрог,стор.</t>
  </si>
  <si>
    <t>Г-ввод ул.Березовая,23,с.Покровское,Неклиновский р-н,стор.</t>
  </si>
  <si>
    <t>Г-ввод ул.Набережная,17А,х.Грузиновка,Неклиновский р-н, стор.</t>
  </si>
  <si>
    <t>Г-ввод ул.Сельхозтехники,1А,с.Покровское,Неклиновский р-н,стор.</t>
  </si>
  <si>
    <t>Г-ввод ул.Солнечная,27,с.Новобессергеновка,Неклиновский р-н,стор.</t>
  </si>
  <si>
    <t>Г-ввод ул.Солнечная,29,с.Новобессергеновка,Неклиновский р-н,стор.</t>
  </si>
  <si>
    <t>Г-ввод ул.Солнечная,31,с.Новобессергеновка,Неклиновский р-н,стор.</t>
  </si>
  <si>
    <t>Г-ввод ДОСЛ-4 Мичуринец,уч-к 283, г.Новочеркасск,стор.</t>
  </si>
  <si>
    <t>Г-ввод пр.Платовский,77,г.Новочеркасск,РГНД ул.Михайловская,г.Новочеркасск,аренда</t>
  </si>
  <si>
    <t>Г-ввод СТ Донские зори НЗСП № 473, г.Новочеркасск,стор.</t>
  </si>
  <si>
    <t>Г-ввод ул.4-я Жасминная, уч-к 105, СНТ № 7, г.Новочеркасск, стор</t>
  </si>
  <si>
    <t>Г-ввод ул.Первая,33,Лит.А,ДОСЛ №4 Мичуринец, г.Новочеркасск к г-ду ул.Ященко, г.Новочеркасск, аренда</t>
  </si>
  <si>
    <t>Г-ввод ул.Первая,33,Лит.Б,ДОСЛ №4 Мичуринец, г.Новочеркасск к г-ду ул.Ященко, г.Новочеркасск, аренда</t>
  </si>
  <si>
    <t>Г-ввод ул.Транспортная,2-д,г.Новочеркасск к РГ ул.Транспортная, г.Новочеркасск, аренда</t>
  </si>
  <si>
    <t>Г-ввод ул.Ленина,2-в,с.Троицкое,к ПГ от АГРС с.Троиц.молоч.комплекс,ул.Строит.Неклиновкий.р-н,аренда</t>
  </si>
  <si>
    <t>ГСНД ст. Буденновская, Пролетарского района, инв.00013045</t>
  </si>
  <si>
    <t>ТП (телеметрия)  ГРП №32,пр.Платовский,2,г.Новочеркасск</t>
  </si>
  <si>
    <t>ТП (телеметрия)  ГРП №46,пер.Цимлянский,г.Новочеркасск</t>
  </si>
  <si>
    <t>ТП (телеметрия)  ГРП №87,ул.Булавина,г.Новочеркасск</t>
  </si>
  <si>
    <t>ТП (телеметрия)  ГРПШ №101, ул.Центральная,Молодежная,х.Железнодорожный, Цимлянский р-н</t>
  </si>
  <si>
    <t>ТП (телеметрия)  ГРПШ №108,ул.Главная,14, х.Богатырев, Цимлянский р-н</t>
  </si>
  <si>
    <t>ТП (телеметрия)  ГРПШ №110, ул.Речная,1, ст.Новоцимлянская, Цимлянский р-н</t>
  </si>
  <si>
    <t>ТП (телеметрия)  ГРПШ №111, ул.Театральная,2, ст.Новоцимлянская, Цимлянский р-н</t>
  </si>
  <si>
    <t>ТП (телеметрия)  ГРПШ №124, центральная бригада №4, х.Карповский,Цимлянский р-н</t>
  </si>
  <si>
    <t>ТП (телеметрия)  ГРПШ №16, ул.Гагарина, г.Волгодонск</t>
  </si>
  <si>
    <t>ТП (телеметрия)  ШРП №106,пер.Одесский, х.Татарка,г.Новочеркасск</t>
  </si>
  <si>
    <t>ТП (телеметрия)  ШРП №113,ст.Бессергеневская,Октябрьский р-н</t>
  </si>
  <si>
    <t>ТП (телеметрия)  ШРП №131,ст.Бессергеневская,Октябрьский р-н</t>
  </si>
  <si>
    <t>ТП (телеметрия)  ШРП №139,ул.Северная,ст.Заплавская,Октябрьский р-н</t>
  </si>
  <si>
    <t>ТП (телеметрия)  ШРП №140,ул.Северная,ст.Заплавская,Октябрьский р-н</t>
  </si>
  <si>
    <t>ТП (телеметрия)  ШРП №141,ул.Первомайская,Гаражный,ст.Заплавская,Октябрьский р-н</t>
  </si>
  <si>
    <t>ТП (телеметрия) 11 участок, с.Беглицкая Коса, Неклиновский р-н</t>
  </si>
  <si>
    <t>ТП (телеметрия) весовая,с.Ивановка, Неклиновский р-н</t>
  </si>
  <si>
    <t>ТП (телеметрия) водонапорная башня,с.Ново-Бессергеновка, Неклиновский р-н</t>
  </si>
  <si>
    <t>ТП (телеметрия) ГРП №31,пр.Платовский,2,г.Новочеркасск</t>
  </si>
  <si>
    <t>ТП (телеметрия) ГРПШ №380, ул.Школьная, п.Семенкин, Волгодонской р-н</t>
  </si>
  <si>
    <t>ТП (телеметрия) ГРПШ №381, ул.Надежды, п.Сибирьковый, Волгодонской р-н</t>
  </si>
  <si>
    <t>ТП (телеметрия) ГРПШ №56, ул.Лесная,ст.Лозновская, Цимлянский р-н</t>
  </si>
  <si>
    <t>ТП (телеметрия) ГРПШ №60,ул.Полевая,х.Рынок-Кагальский, Цимлянский р-н</t>
  </si>
  <si>
    <t>ТП (телеметрия) ГРПШ №665, п.Саловский, Волгодонской р-н</t>
  </si>
  <si>
    <t>ТП (телеметрия) д.сад у котельной,с.Ново-Бессергеновка, Неклиновский р-н</t>
  </si>
  <si>
    <t>ТП (телеметрия) котельная рыбцеха,с.Приморка, Неклиновский р-н</t>
  </si>
  <si>
    <t>ТП (телеметрия) МЦВРИ с.Синявское, Неклиновский р-н</t>
  </si>
  <si>
    <t>ТП (телеметрия) олифоварка, х.Рожок, Неклиновский р-н</t>
  </si>
  <si>
    <t>ТП (телеметрия) ПК 40+15, с.Григорьевка, Матвеево-Курганский р-н</t>
  </si>
  <si>
    <t>ТП (телеметрия) пос.Первомайский, Красносулинский р-н</t>
  </si>
  <si>
    <t>ТП (телеметрия) с.Новостроенка, Неклиновский р-н</t>
  </si>
  <si>
    <t>ТП (телеметрия) тер.ЗАО Сармат, с.Андреево-Мелентьево, Неклиновский р-н</t>
  </si>
  <si>
    <t>ТП (телеметрия) ТП №384, с.Большекирсаново, Матвеево-Курганский р-н</t>
  </si>
  <si>
    <t>ТП (телеметрия) у бригады с.Беглицкая Коса, Неклиновский р-н</t>
  </si>
  <si>
    <t>ТП (телеметрия) у сельмага, с.Боково, Неклиновский р-н</t>
  </si>
  <si>
    <t>ТП (телеметрия) у столовой, с.Носово, Неклиновский р-н</t>
  </si>
  <si>
    <t>ТП (телеметрия) у ТП х.Балка,пос.Ленинский, Матвеево-Курганский р-н</t>
  </si>
  <si>
    <t>ТП (телеметрия) у ТП, с.Николаевка, Неклиновский р-н</t>
  </si>
  <si>
    <t>ТП (телеметрия) у ШРП,сл.Советка, Неклиновский р-н</t>
  </si>
  <si>
    <t>ТП (телеметрия) ул.1-я Зверевская,х.Марс, Красносулинский р-н</t>
  </si>
  <si>
    <t>ТП (телеметрия) ул.81 МСБ- 50 лет ВЛКСМ, г.Пролетарск</t>
  </si>
  <si>
    <t>ТП (телеметрия) ул.Гагарина, бригада, х.Хапры, Мясниковский р-н</t>
  </si>
  <si>
    <t>ТП (телеметрия) ул.Котовского, г.Сальск</t>
  </si>
  <si>
    <t>ТП (телеметрия) ул.Ленина, с.Троицкое, Неклиновский р-н</t>
  </si>
  <si>
    <t>ТП (телеметрия) ул.Ленина,49,с.Новоотрадное, Неклиновский р-н</t>
  </si>
  <si>
    <t>ТП (телеметрия) ул.Молодежная,13,с.Васильево-Ханжоновка, Неклиновский р-н</t>
  </si>
  <si>
    <t>ТП (телеметрия) ул.Радужная,, 91, г.Волгодонск</t>
  </si>
  <si>
    <t>ТП (телеметрия) ул.Садовая,с.Бессергеновка, Неклиновский р-н</t>
  </si>
  <si>
    <t>ТП (телеметрия) ул.Севастопольская,СКЗ, г.Сальск</t>
  </si>
  <si>
    <t>ТП (телеметрия) ул.Степная,с.Лакедемоновка, Неклиновский р-н</t>
  </si>
  <si>
    <t>ТП (телеметрия) ул.Хорошилова,с.Ефремовка, Неклиновский р-н</t>
  </si>
  <si>
    <t>ТП (телеметрия) ул.Чижова, Скибы, г.Пролетарск</t>
  </si>
  <si>
    <t>ТП (телеметрия) ул.Энгельса,пер.Стахановский,с.Петрушино, Неклиновский р-н</t>
  </si>
  <si>
    <t xml:space="preserve">ТП (телеметрия) х.Александровка, Аксайский р-н </t>
  </si>
  <si>
    <t>ТП (телеметрия) холодильник, с.Золотая Коса, Неклиновский р-н</t>
  </si>
  <si>
    <t>ТП (телеметрия) ГРПШ №61, ул.Центральная,13, х.Карпов, Цимлянский р-н</t>
  </si>
  <si>
    <t>ПТ (телеметрия) ул.Дзержинского,11, с.Троицкое, Неклиновский р-н</t>
  </si>
  <si>
    <t>ГВД (рек) ст.Новозолотовская,Донские Зори, Семикаракорский р-н, инв.32-30273</t>
  </si>
  <si>
    <t>ГВД с ШРП п.Овощной,Азовский р-н</t>
  </si>
  <si>
    <t>ГВСД с ШРП п.Красный Сад, Азовский р-н</t>
  </si>
  <si>
    <t>МГВД х.Верхняковский,Михайловский,Верхнедонской р-н</t>
  </si>
  <si>
    <t>МГВД х.Хмызов,Малахов,Еритовка,Миллеровский р-н</t>
  </si>
  <si>
    <t>Г-ввод ВД ул.Совхозная,32А,котельная,г.Ростов-на-Дону</t>
  </si>
  <si>
    <t>Г-ввод СД пр.Королева,1в для автосалона г.Ростов-на-Дону</t>
  </si>
  <si>
    <t>Г-ввод ул.Бакунина,21,г.Новочеркасск жилые дома</t>
  </si>
  <si>
    <t>Г-ввод ул.Ленина,5/1, многкварт.жил.дома, г.Аксай,Аксайский р-н</t>
  </si>
  <si>
    <t>Г-ввод ДНТ Ростсельмашевец-2, п.Ковалевка,Аксайский р-н</t>
  </si>
  <si>
    <t>Навесы для хранения материалов ул.Калинина,25,г.Белая Калитва</t>
  </si>
  <si>
    <t>ГНД (рек) вынос уч-ка г-да ул.Б.Куликова,г.Семикаракорск,инв.000013218</t>
  </si>
  <si>
    <t>ТП ГРПШ ул.Кирова,с.Николаевка,Песчанокопский р-н, инв.27-00130</t>
  </si>
  <si>
    <t>ТП ГРПШ ул.Московская,с.Летник, Песчаноковский р-н, инв.27-04098</t>
  </si>
  <si>
    <t>ТП ГРПШ ул.Советская,с.Красная Поляна, Песчанокопский р-н, инв.27-04112</t>
  </si>
  <si>
    <t>ТП зап.устр-во на ГВД от Сальской ГРС ул.Трактовая,1, г.Сальск, инв.31-03120</t>
  </si>
  <si>
    <t>Г-ввод ДНП Агро-клуб Усадьба,24-308,х.Махин,Аксайский р-н,стор.</t>
  </si>
  <si>
    <t>Г-ввод ДНП Агро-клуб Усадьба,9-120,х.Махин,Аксайский р-н,стор.</t>
  </si>
  <si>
    <t>Г-ввод пер.Ореховый,109,г.Аксай,стор.</t>
  </si>
  <si>
    <t>Г-ввод ул.Андреевская,8 г.Аксай, стор.</t>
  </si>
  <si>
    <t>Г-ввод ул.Ленина,71, х. Ленина ,Аксайский р-н,стор.</t>
  </si>
  <si>
    <t>Г-ввод ул.Персиковая,2316, лит.Б,СНТ Содружество,Аксайский р-н,стор.</t>
  </si>
  <si>
    <t>Г-ввод ул.Фадеева,72-Г,х.Большой Лог,Аксайский р-н, стор.</t>
  </si>
  <si>
    <t>ГНД х.Большой Лог ул.Фадеева от ж.д.№189 до ж.д.№70, Аксайский р-н,инв. 01-00989</t>
  </si>
  <si>
    <t>Г-ввод ул.Березовая,34,х.Парамонов,Волгодонской р-н,стор.</t>
  </si>
  <si>
    <t>Г-ввод ул.Советская,32,ст.Красноярская,Цимлянский р-н,стор.</t>
  </si>
  <si>
    <t>Газопровод-ввод ул.Каменская,83к "Тех.перевооружение сети газопотребления ч прокладкой ГСД,установкой ШРП для газификации птицефермы", принадлежит Строителеву О.П.</t>
  </si>
  <si>
    <t>РГ для газ.ж.д. в гр.ул.Краснова, пер.Азовский, Черноморский инв.№000015618</t>
  </si>
  <si>
    <t>РГ ул.Некрасова, Серафимовича, пер.Волгоградский, ул.У.Громовой, пер.Клубный инв.№000017065</t>
  </si>
  <si>
    <t>по мере подключения (тех.присоединении) объектов частных домовладений населения, пост.1314</t>
  </si>
  <si>
    <t>РГ х. Макарьев (1 этап) инв.№000015805</t>
  </si>
  <si>
    <t>РГ х. Макарьев (2 этап) инв.№000016158</t>
  </si>
  <si>
    <t>Г-ввод ул.Фруктовая,5,г.Зерноград, стор.</t>
  </si>
  <si>
    <t>ГПСД г.Зерноград ГРП Селекцентра, инв.15-47950</t>
  </si>
  <si>
    <t>Г-ввод ул. Гелетухина 12 г Морозовск</t>
  </si>
  <si>
    <t>Г-ввод вдоль дороги Ростов-Новочерскассск КСП им. Ленина. Аксайский р</t>
  </si>
  <si>
    <t>Г-ввод пер.Студенческий,29,г.Новочеркасск, стор</t>
  </si>
  <si>
    <t>Г-ввод пл.Центральная,5, литер А,г.Новочеркасск,стор.</t>
  </si>
  <si>
    <t>Г-ввод пр.Баклановский,118а,г.Новочеркасск,стор</t>
  </si>
  <si>
    <t>Г-ввод ул.Интернационалистов,59,г.Новочеркасск,стор.</t>
  </si>
  <si>
    <t>Г-ввод ул.Петрова,3а,лит.Х,лит.Ш, лит.Ч, г.Новочеркасск,стор.</t>
  </si>
  <si>
    <t>Г-ввод ул.Успенская,18, литер А,г.Новочеркасск,стор</t>
  </si>
  <si>
    <t>Г-ввод ул.Худякова,18а, литер А,г.Новочеркасск, стор.</t>
  </si>
  <si>
    <t>Не позднее срока окончания действия договора подключения</t>
  </si>
  <si>
    <t>РГНД ст.Заплавская, Октябрьский район (2 этап), инв.00-000510</t>
  </si>
  <si>
    <t>НПГНВД ул.Степная, ул. Лазорева,1-й,2-й переулок, пер.Короткий,г.Семикаракорск, инв 32-30248</t>
  </si>
  <si>
    <t>Г-ввод 10 Садовая площадка,3а,г.Таганрог,к ГНД зилн 7 навбакин,аренда</t>
  </si>
  <si>
    <t>Г-ввод 1300 км СКЖД СНТ Тюльпан,уч-к 31, к ВНГ СТ Голуб.Ели,Мор.Чулек,Неклиновский р-н,аренда</t>
  </si>
  <si>
    <t>Г-ввод 29 переулок, 2-а,г.Таганрог,к ГНД Красный,г.Таганрог,аренда</t>
  </si>
  <si>
    <t>Г-ввод ДНТ Энтузиаст-2,6,с.Николаевка,Гаевка АГРС Троцкое,Неклиновский р-н,аренда</t>
  </si>
  <si>
    <t>Г-ввод Николаевское шоссе,1-2, г.Таганрог,стор.</t>
  </si>
  <si>
    <t>Г-ввод Николаевское шоссе,19-1,СНТ Весна,уч-к 84,г.Таганрог,стор.</t>
  </si>
  <si>
    <t>Г-ввод пер.Комсомольский,19-1, г.Таганрог,ГНДА.Глушко,г.Таганрог,аренда</t>
  </si>
  <si>
    <t>Г-ввод Северо-Западное шоссе,10, ДНТ Омега,232,г.Таганрог,стор.</t>
  </si>
  <si>
    <t>Г-ввод СНТ Миусские Зори,72, х.Боркин,Неклиновский р-н,стор.</t>
  </si>
  <si>
    <t>Г-ввод ул.Береговая,1-г,с.А-Мелентьево,к ВНГ ул.Октябрь,Первом,с.А-Мелентьево,Неклиновский р-н,аренда</t>
  </si>
  <si>
    <t>Г-ввод ул.Береговая,11а,с.Мержаново,к ВНГ СТ Голубые Ели,Морск,Чулек,Неклиновский р-н,аренда</t>
  </si>
  <si>
    <t>Г-ввод ул.Береговая,9-а,с.А-Мелентьево,к ВНГ ул.Октябрьск,Первом,с.А-Мелентьево,Неклиновский р-н,аренда</t>
  </si>
  <si>
    <t>Г-ввод ул.Восточная,40,с.Новобессергеновка,Неклиновский р-н, стор.</t>
  </si>
  <si>
    <t>Г-ввод ул.Дзержинского,60/ул.Штыба,76,г.Таганрог,к ГНД Ткач, 2 ком,г.Таганрог,аренда</t>
  </si>
  <si>
    <t>Г-ввод ул.Евминенко,15/Б.Проспект,8, г.Таганрог, к ГНД Евминенко,г.Таганрог,аренда</t>
  </si>
  <si>
    <t>Г-ввод ул.Инициативная,60,г.Таганрог, к ГНД ул.Греческая,г.Таганрог,аренда</t>
  </si>
  <si>
    <t>Г-ввод ул.Миусская,5, с.Беглица,к ПГ с.Беглица,Лакедемоновская,АГРС,Неклиновский р-н,аренда</t>
  </si>
  <si>
    <t>Г-ввод ул.Петлякова,50/24,г.Таганрог,стор.</t>
  </si>
  <si>
    <t>Г-ввод ул.Победы,1-р,с.Андреево-Мелентьево, к ВНГ ул.Октябрь,Первом,с.А-Мелентьево,Неклиновский р-н,аренда</t>
  </si>
  <si>
    <t>Г-ввод ул.Полевая,73, с.Покровское,Неклиновский р-н,стор.</t>
  </si>
  <si>
    <t>Г-ввод ул.Пушкина,36-д, с.Николаевка,ВНГ АГРС Троицк1,Лугова,Неклиновский р-н,аренда</t>
  </si>
  <si>
    <t>Г-ввод ул.Пушкина,88,с.Николаевка,к ВНГ АГРС Троицк1,Луг,Лен,Фрунзе,Неклиновский р-н,аренда</t>
  </si>
  <si>
    <t>Г-ввод ул.Пушкина,94,с.Николаевка,к ВНГ АГРС Троицк1,Луг,Лен,Фрунзе,Неклиновский р-н,аренда</t>
  </si>
  <si>
    <t>Г-ввод ул.Чехова,4-а,с.Николаевка,к ВНГ с.Никол,Гаевка,АГРС Троицкая,Неклиновский р-н,аренда</t>
  </si>
  <si>
    <t>Г-ввод ул.Шмидта,3,с.Боцманово, к ПГ от ГРП п.Комаровка,Неклиновский р-н,аренда</t>
  </si>
  <si>
    <t>ПГНД ул.Орджоникидзе,х.Ленинаван, Мясниковский р-н, инв.22-00944</t>
  </si>
  <si>
    <t>ГВНД ул.Орджоникидзе, х.Ленинаван,Мясниковский р-н, инв.00-06666</t>
  </si>
  <si>
    <t>Г-ввод ул.Удачная,12,х. Ленинаван, Мясниковский р-н ,стор.</t>
  </si>
  <si>
    <t>Г-ввод ул.Степная,47,х.Калинин,Мясниковский р-н,стор.</t>
  </si>
  <si>
    <t>Г-ввод ул.Лукашина,25в, х.Ленинакан, Мясниковский р-н, стор.</t>
  </si>
  <si>
    <t>Г-ввод ул.Лукашина,18б,с.Чалтырь,Мясниковский р-н, стор.</t>
  </si>
  <si>
    <t>Г-ввод ул.Луговая,35,х.Красный Крым,Мясниковский р-н,стор.</t>
  </si>
  <si>
    <t>Г-ввод ул.Луговая,19,х.Красный Крым,Мясниковский р-н,стор.</t>
  </si>
  <si>
    <t>Г-ввод ул.Ландышевая,7а,х.Ленинаван, к ГНД ул.Ландышевая,х.Ленинаван,Мясниковский р-н,аренда</t>
  </si>
  <si>
    <t>Г-ввод ул.Красноармейская,102а, с.Чалтырь, к ГНД ул.Красноармейская, с.Чалтырь, Мясниковский р-н, аренда</t>
  </si>
  <si>
    <t>Г-ввод ул.Кирова,38, х.Красный Крым, Мясниковский р-н, стор.</t>
  </si>
  <si>
    <t>Г-ввод ул.Ереванская,11/1, х.Ленинаван, Мясниковский р-н, стор.</t>
  </si>
  <si>
    <t>Г-ввод ул.Ереванская,10/1, х.Ленинаван, Мясниковский р-н, стор.</t>
  </si>
  <si>
    <t>Г-ввод ул.Дружбы,76,х.Ленинаван, Мясниковский р-н,стор.</t>
  </si>
  <si>
    <t>Г-ввод ул.Весенняя,12, с.Чалтырь, Мясниковский р-н, стор.</t>
  </si>
  <si>
    <t>Г-ввод ул.Абрикосовая,48, ДНП п.Озерный,Мясниковский р-н,стор.</t>
  </si>
  <si>
    <t>Г-ввод ул.16-я Линия,21,с.Чалтырь,Мясниковский р-н,стор.</t>
  </si>
  <si>
    <t>Пост пров-ки газоб.оборуд.ул.Иловайская,3,г.Ростов-на-Дону</t>
  </si>
  <si>
    <t>МГ х.Новомоисеевский,Пролетарский р-н</t>
  </si>
  <si>
    <t>Г-ввод АО Аксайское,поле,57,к.н. 61:02:0600010:3755,Аксайский р-н</t>
  </si>
  <si>
    <t>Г-ввод ВД Сад.потреб.кооператив Политехник, г.Новочеркасск, кад.номер  61:55:0011233:105</t>
  </si>
  <si>
    <t>Г-ввод поле №8,9 СХА им.ХХ партсъезда,подключение 400 уч-ков,Азовский р-н</t>
  </si>
  <si>
    <t>Г-ввод ул.Промышленная,22, завод по произ-ву крахмалопродуктов, г. Миллерово</t>
  </si>
  <si>
    <t>Г-ввод ул.Смирнова,51,г.Сальск,комплекс склад-цех сельхоз.назначения</t>
  </si>
  <si>
    <t>Г-ввод ул.Солнечная,1, АГНКС,г.Белая Калитва</t>
  </si>
  <si>
    <t>Г-ввод ул.Спортивная,64,производственная база,Северный,п.Сеятель,Сальский р-н</t>
  </si>
  <si>
    <t>Г-ввод уч-ки №127,129,131, Комсомольская, жилой комплекс г.Батайск</t>
  </si>
  <si>
    <t>Г-ввод ул.Советская,324,ст. Грушевская,Аксайский р-н,стор.</t>
  </si>
  <si>
    <t>Г-д ул.Ермака,Закурганая,1,10 мкр,г.Аксай, инв.000013774</t>
  </si>
  <si>
    <t>Г-ввод ул.Ореховая,1111, СНТ Содружество,Аксайский р-н.стор.</t>
  </si>
  <si>
    <t>Г-ввод 4-й переулок,2,ст.Ольгинская,Аксайский р-н, стор.</t>
  </si>
  <si>
    <t>Г-ввод ул.Промышленная,3, г. Аксай,Аксайский р-н,стор.</t>
  </si>
  <si>
    <t>Г-ввод пер.Крупской,8, ст. Багаевская,Багаевский р-н,стор.</t>
  </si>
  <si>
    <t>Г-ввод ул.Подгорная,2,ст.Грушевская,Аксайский р-н,стор.</t>
  </si>
  <si>
    <t>Г-ввод ДНП Агро-клуб Усадьба,54-160,х.Махин, ,Аксайский р-н,стор.</t>
  </si>
  <si>
    <t>Г-ввод ул.Тополей,763, СНТ Содружество,Аксайский р-н,стор.</t>
  </si>
  <si>
    <t>Г-ввод ул.Планетная,6, СНТ Солнечная Поляна,Аксайский р-н,стор.</t>
  </si>
  <si>
    <t>Г-ввод ул.Ленина,1/1-А,п.Октябрьский,Аксайский р-н,стор.</t>
  </si>
  <si>
    <t>Г-ввод ул.Ландышевая,180,СНТ Содружество,Аксайский р-н,стор.</t>
  </si>
  <si>
    <t>Г-ввод ул.Лучезарная,2,п.Октябрьский,Аксайский р-н,стор.</t>
  </si>
  <si>
    <t>Г-ввод ул.Московская,7, ст. Багаевская,Багаевский р-н,стор.</t>
  </si>
  <si>
    <t>Г-ввод ул.Малиноваяя,17, п. Российский,Аксайский р-н,стор.</t>
  </si>
  <si>
    <t>Г-ввод ул.Спортивная,7а,х.Паршиков,Цимлянский р-н,стор.</t>
  </si>
  <si>
    <t>Г-ввод ул.Центральная,21,ст.Лозновская,Цимлянский р-н,стор.</t>
  </si>
  <si>
    <t>Г-ввод ул.Думенко,16,п.Целина,Целинский р-н,стор.</t>
  </si>
  <si>
    <t>Г-ввод ул.Заречная,74,с.Лопанка,к ГНД ул.Заречная,Гражданская,с.Лопанка,Целинский р-н,аренда</t>
  </si>
  <si>
    <t>ГПНД  ЗЕРНОГРАД УЛ.КОСТЫЧЕВА, инв 15-50779</t>
  </si>
  <si>
    <t>ГПНД от ГРП по ул.Садовой, до угла стр.№ 17 по ул.Садовая, г.Зерноград,инв.15-47958</t>
  </si>
  <si>
    <t>ГПСД ул.Машиностроителей,1/1,г.Зерноград,инв.15-45658</t>
  </si>
  <si>
    <t>ГПСД ул.Садовая от ГРС до ул.Чехова, ул.Чехова от ул.Садовой до Социалистической,г.Зерноград, инв.15-45597</t>
  </si>
  <si>
    <t>ПГВНД ул.Дачной,ул. Гайдара,г. Зерноград,инв.00-000504</t>
  </si>
  <si>
    <t>ПГНД ул.Луговая, Новая, зеленая, х. Каменный, Зерноградский  р, инв 000016241</t>
  </si>
  <si>
    <t>Г-ввод ул. Заречная 2 х Рязанкин Морозовского р-на</t>
  </si>
  <si>
    <t>Г-ввод ул.Интернационалистов,15,лит.А,г.Новочеркасск,стор.</t>
  </si>
  <si>
    <t>Г-ввод пер.Короткий,17,лит.А,г.Новочеркасск, стор.</t>
  </si>
  <si>
    <t>Г-ввод ул.Красноармейская,133а,лит.А,г.Новочеркасск, аренда</t>
  </si>
  <si>
    <t>Г-ввод ул.Азовская,13,г.Новочеркасск, стор.</t>
  </si>
  <si>
    <t>Г-ввод ул.А.А.Никольского,122,г.Новочеркасск,аренда</t>
  </si>
  <si>
    <t>Г-ввод ул.Казачья,19а,г.Новочеркасск,аренда</t>
  </si>
  <si>
    <t>Г-ввод пер.Студенческий,29,лит.А,г.Новочеркасск,аренда</t>
  </si>
  <si>
    <t>Г-ввод с/т Малинка,уч-к 357, ул.14-я Линия, лит.А,г.Новочеркасск,стор.</t>
  </si>
  <si>
    <t>Г-ввод ул.Ященко,А.А.,6, г.Новочеркасск,стор.</t>
  </si>
  <si>
    <t>РГ ст.Бессергеневская, Октябрьского района (3 этап),инв.00-001104</t>
  </si>
  <si>
    <t>РГ х.Калинин, Октябрьского района (3 этап),инв.00-000897</t>
  </si>
  <si>
    <t>Г-ввод ул.Сенная,10,г.Новочеркасск,аренда</t>
  </si>
  <si>
    <t>Г-ввод ул.Успенская,17,г.Новочеркасск,стор.</t>
  </si>
  <si>
    <t>Г-ввод ул.Щорса,198,г.Новочеркасск,аренда</t>
  </si>
  <si>
    <t>Г-ввод ул.Худякова,16а,лит.А,г.Новочеркасск,стор.</t>
  </si>
  <si>
    <t>РГ для газ-я х.Яново-Грушевский,Октябрьского района, инв.000013504</t>
  </si>
  <si>
    <t>РГ ул.Крыжановского,Дорожной,пер.Прямому,Снежному,Механизаторов газ.бывш. п.Лугового,г.Новочеркасск, инв.00-002501</t>
  </si>
  <si>
    <t>Г-ввод ДНТ Камыш,124,с.Николаевка,Неклиновский р-н,стор.</t>
  </si>
  <si>
    <t>Г-ввод Металлург-2 сад,160,с.Бессергеневка ВНГ ул.Мирн1,ШГРП-3,с.Бессергеновка,Неклиновский р-н</t>
  </si>
  <si>
    <t>Г-ввод Николаевское шоссе,19-1,СТ Весна,уч-к 88,г.Таганрог,стор.</t>
  </si>
  <si>
    <t>Г-ввод пер.13-й Комсомольский,2,х.Мержаново, к ВНГ х.Мержан,с/т Голубые Ели,Неклиновский р-н,аренда</t>
  </si>
  <si>
    <t>Г-ввод пер.Гоголевский,11,г.Таганрог,к ГНД Ленина,г.Таганрог,аренда</t>
  </si>
  <si>
    <t>Г-ввод пер.Колхозный,2а,г.Таганрог,к ГНД А.Глушко,аренда</t>
  </si>
  <si>
    <t>Г-ввод пер.Черемушки,15,с.Кульбаково,РГНД ул.Черемушки,Неклиновский р-н.аренда</t>
  </si>
  <si>
    <t>Г-ввод пр.5-й Квартальный,3,г.Таганрог,к ГНД КРАСНЫЙ,г.Таганрог,аренда</t>
  </si>
  <si>
    <t>Г-ввод с/т Дружба-1, уч-к 304,г.Таганрог,стор.</t>
  </si>
  <si>
    <t>Г-ввод сад Бережок,77,х.Грузиновка,Неклиновский р-н,стор.</t>
  </si>
  <si>
    <t>Г-ввод сад Энтузиаст-2,1,с.Николаевка,ВНГ с.Николаевка,Гаевка,АГРС Троицкое,Неклиновский р-н,аренда</t>
  </si>
  <si>
    <t>Г-ввод СНТ Коммунальник-1,уч-к 51,г.Таганрог,стор.</t>
  </si>
  <si>
    <t>Г-ввод СНТ Энтузиаст,165, М.Чулек, Неклиновский р-н,стор.</t>
  </si>
  <si>
    <t>Г-ввод СТ Мичуринец,78, п.Новоприморский, Неклиновский р-н,стор.</t>
  </si>
  <si>
    <t>Г-ввод ул.Вокзальная,45,г.Таганрог,к ГНД 218,2м.ул.Канавная,27,Кварт проезд,г.Таганрог,аренда</t>
  </si>
  <si>
    <t>Г-ввод ул.Дзержинского,22,с.Натальевка,к ПГ от АГРС Таганр,межп.,ГРП,с.Натальевка,Неклиновский р-н,аренда</t>
  </si>
  <si>
    <t>Г-ввод ул.Зеленая,39,с.Новобессергеновка,Неклиновский р-н,стор.</t>
  </si>
  <si>
    <t>Г-ввод ул.Кедровая,28,с.Новобессергеновка,Неклиновский р-н,стор.</t>
  </si>
  <si>
    <t>Г-ввод ул.Котляра,2,ул.Черняховского,14,г.Таганрог,к ГНД Р.Люксембург,г.Таганрог,аренда</t>
  </si>
  <si>
    <t>Г-ввод ул.Л.Чайкиной,35-3,г.Таганрог,к ГСД З.Космодемьянской,Инструмент,г.Таганрог,аренда</t>
  </si>
  <si>
    <t>Г-ввод ул.Лесная,31а,с.Новобессергеновка,Неклиновский р-н,стор.</t>
  </si>
  <si>
    <t>Г-ввод ул.М.Лиманная,2-1,ДНТ Лагуна,уч-к 147,г.Таганрог,стор.</t>
  </si>
  <si>
    <t>Г-ввод ул.Металлургическая,22,с.Покровское,Неклиновский р-н,стор.</t>
  </si>
  <si>
    <t>Г-ввод ул.Петровская,4,с.Николаевка,Неклиновский р-н,стор.</t>
  </si>
  <si>
    <t>Г-ввод ул.Пионерская,10,п.Дмитриадовка к НГ ул.1-я Степная,Мирн,Полев,Неклиновский р-н,аренда</t>
  </si>
  <si>
    <t>Г-ввод ул.Полевая,211,с/т Прибой,с.Николаевка,Неклиновский р-н,стор.</t>
  </si>
  <si>
    <t>Г-ввод ул.Прохладная,9,с.Покровское,Неклиновский р-н,стор.</t>
  </si>
  <si>
    <t>Г-ввод ул.Пушкина,92,с.Русская Слободка, К ПГ ГРС р/к Первомай,х.Кр.Десант,Неклиновский р-н,аренда</t>
  </si>
  <si>
    <t>Г-ввод ул.Речная,15,с.Новобессергеновка,Неклиновский р-н.стор.</t>
  </si>
  <si>
    <t>Г-ввод ул.Речная,1а,с.Новобессергеновка,Неклиновский р-н.стор.</t>
  </si>
  <si>
    <t>Г-ввод ул.Садовая,17,с.Вареновка,РГНД ул.Лебедева,с.Бессергеновка,Неклиновский р-н,стор.</t>
  </si>
  <si>
    <t>Г-ввод ул.Свободы,28,с.Новобессергеновка,Неклиновский р-н,стор.</t>
  </si>
  <si>
    <t>Г-ввод ул.Севастопольская,8а,г.Таганрог,к ГНД-16, Украинский,г.Таганрог,аренда</t>
  </si>
  <si>
    <t>Г-ввод ул.Социалистическая,152-5,г.Таганрог,ГСД Бухта Андреева-Дачи,г.Таганрог,аренда</t>
  </si>
  <si>
    <t>Г-ввод ул.Толбухина,2,г.Таганрог,к ГНД 3м.,ул.А.Глушко,г.Таганрог,аренда</t>
  </si>
  <si>
    <t>Г-ввод ул.Шевченко,155,г.Таганрог, к ГНД ул.Грозненская,г.Таганрог,аренда</t>
  </si>
  <si>
    <t>Г-ввод ул.Яковенко,43е,пер.Зеленый,19а,г.Таганрог,к ГНД 686м.,Зеленая,114,г.Таганрог,аренда</t>
  </si>
  <si>
    <t>Г-ввод пер.8-й Путеводный,уч-к 54, с/т Изумруд,Мясниковский р-н,стор.</t>
  </si>
  <si>
    <t>Г-ввод ул.Дачная,4,х.Ленинаван,Мясниковский р-н,стор.</t>
  </si>
  <si>
    <t>Г-ввод ул.Сарьяна,31,х.Ленинаван,Мясниковский р-н,стор.</t>
  </si>
  <si>
    <t>ПГСД ул.Ленина ул.Середкина до ГРП ул.Шаумяна,с.Большие Салы. Мясниковский р-н,инв.22-00481</t>
  </si>
  <si>
    <t>Г-ввод ул.1-я Ленинская,1г.,с.Большие Салы,Мясниковский р-н,стор.</t>
  </si>
  <si>
    <t>Г-ввод ул.Ореховая,4, х. Кр. Крым,  Мясниковский р-н ,стор.</t>
  </si>
  <si>
    <t>Г-ввод ул.Речная,3ж,с.Чалтырь,Мясниковский р-н,стор.</t>
  </si>
  <si>
    <t>Г-ввод ул.Дачная,20,х.Ленинаван,Мясниковский р-н,стор.</t>
  </si>
  <si>
    <t>Г-ввод ул.Олимпийская,23,х.Красный Крым,Мясниковский р-н,стор.</t>
  </si>
  <si>
    <t>Г-ввод ул.Степная,47г,х.Калинин,Мясниковский р-н,стор.</t>
  </si>
  <si>
    <t>Г-ввод ул.Цветочная,34, ДНП п.Озерный,Мясниковский р-н,стор.</t>
  </si>
  <si>
    <t>Г-ввод ул.Свободы,13,х.Красный Крым,Мясниковский р-н,стор.</t>
  </si>
  <si>
    <t>Г-ввод ул.Донская,6-БИ,х.Калинин,Мясниковский р-н,стор.</t>
  </si>
  <si>
    <t>Г-ввод ул.17-я Линия,7,с.Крым,Мясниковский р-н,стор.</t>
  </si>
  <si>
    <t>Г-ввод СНТ Сириус,уч-к 125,г.Ростов-на-Дону,стор.</t>
  </si>
  <si>
    <t>Г-ввод пер.10-й Путеводный,1а, СНТ Сириус,г.Ростов-на-Дону,стор.</t>
  </si>
  <si>
    <t>Г-ввод ул.2-я Линия,36а,с.Чалтырь,Мясниковский р-н,стор.</t>
  </si>
  <si>
    <t>Г-ввод ул.Хатламаджияна,3,х.Ленинаван,Мясниковский р-н,стор.</t>
  </si>
  <si>
    <t>Г-ввод ул.Хатламаджияна,4,х.Ленинаван,Мясниковский р-н,стор.</t>
  </si>
  <si>
    <t>ГСД х.Савченко,х.Стоянов,Х.Федя-кий, Мясниковский р-н,инв.22-06386</t>
  </si>
  <si>
    <t>Г-ввод с/т Солнышко, уч-к 78, Мясниковский р-н,стор.</t>
  </si>
  <si>
    <t>Г-ввод С/Т Автомибилист,164,Мясниковский р-н,стор.</t>
  </si>
  <si>
    <t>Г-ввод ул.Абрикосовая,18, ДНП п.Озерный,Мясниковский р-н,стор.</t>
  </si>
  <si>
    <t>Г-ввод ул.Глинки,14,х.Ленинаван, Мясниковский р-н,стор.</t>
  </si>
  <si>
    <t>Г-ввод ул.Г.Бабияна,4а,с.Крым,Мясниковский р-н, стор.</t>
  </si>
  <si>
    <t>Г-ввод ул.Тенистая,17, х.Ленинаван, Мясниковский р-н, стор.</t>
  </si>
  <si>
    <t>Г-ввод ул.Березовая,24, п.Озерный,Мясниковский р-н,стор.</t>
  </si>
  <si>
    <t>Г-ввод ул.Самшитовая,24,п.Темерницкий,Аксайский р-н,стор.</t>
  </si>
  <si>
    <t>Г-ввод ул.им.А.Карелина,31,х.Ленинаван,Мясниковский р-н,стор.</t>
  </si>
  <si>
    <t>Г-ввод ул.Абовяна,40а, х.Ленинаван, Мясниковский р-н, стор.</t>
  </si>
  <si>
    <t>Г-ввод ул.им.А.Карелина,15,х.Ленинаван,Мясниковский р-н,стор.</t>
  </si>
  <si>
    <t>Г-ввод ул.Вечерняя,6,г.Ростов-на-Дону,стор.</t>
  </si>
  <si>
    <t>Г-ввод ул.Красная,28,х.Красный Крым,Мясниковский р-н,стор.</t>
  </si>
  <si>
    <t>Г-ввод ул.Свободы,21,х.Красный Крым, Мясниковский р-н, стор.</t>
  </si>
  <si>
    <t>Г-ввод 1й км.автодороги Ростов-Новошахтинск, уч-к 11/19,  Мясниковский р-н,стор.</t>
  </si>
  <si>
    <t>Г-ввод ул.Школьная,7,х.Новоспасовка к НГ х.Новоспасовка,Миллеровский р-н,аренда</t>
  </si>
  <si>
    <t>ПАО "Газпром газораспределение Ростов-на-Дону" в п.Зимовники</t>
  </si>
  <si>
    <t>РГ с.Федосеевка, Заветинского района (2 этап)</t>
  </si>
  <si>
    <t>РГ ст.Жуковская,Дубовского района, инв.000014625</t>
  </si>
  <si>
    <t>РГСД с.Заветное, Заветинского района (2 этап), инв.000016922</t>
  </si>
  <si>
    <t>РГСД с.Киселевка, Заветинского района, инв.000014686</t>
  </si>
  <si>
    <t>РГСНД с.Ремонтное, Ремонтненского района,инв.16-00498</t>
  </si>
  <si>
    <t>ГНД ул.Поверхностная, Димитрова,Тельмана, Мануильского,Ленина,Шолохова, г.Гуково, инв.9-41530</t>
  </si>
  <si>
    <t>РГ для газ-ции кв.153,154,163,164 жд ш.Ростовская г.Гуково, инв.9-41579</t>
  </si>
  <si>
    <t>РГ от ШРП №10 пос.ш. "Ростовская" г.Гуково РО, инв.000016921</t>
  </si>
  <si>
    <t>ГВД сл.Родионово-Несветайская - с.Кутейниково, Родионово-Несветайский район,инв.23-00082</t>
  </si>
  <si>
    <t>ГНД ул.Заречная, х.Павленков, Родионово-Несветайский район,инв23-00118</t>
  </si>
  <si>
    <t>ГСД и ГНД ул.Гв.-Танкистов (ГРПБ),сл.Родионово-Несветайская,Родионов-Несветайского р-на,инв.23-00066</t>
  </si>
  <si>
    <t>ГВНД.ул.Полевая-Гв-Танкистов,х.Новотроицкий, Родионово-Несветайского р-на, инв.23-00080</t>
  </si>
  <si>
    <t>Г-ввод к.н.61:33:0600012:642, с.Генеральское,Родионово-Несветайский р-н, стор.</t>
  </si>
  <si>
    <t>Г-ввод ул.Доброхотских,1А, х. Михайловка, Красносулинский р стор</t>
  </si>
  <si>
    <t>Г-ввод ул.Доброхотских,41/1, х. Михайловка, Красносулинский р стор</t>
  </si>
  <si>
    <t>Г-ввод ул.Доброхотских,41/2, х. Михайловка, Красносулинский р стор</t>
  </si>
  <si>
    <t>Г-ввод ул.Доброхотских,42/2, х. Михайловка, Красносулинский р стор</t>
  </si>
  <si>
    <t>Г-ввод ул.Краснопартизанская,128, х.Гуково,Красносулинский р-н,стор.</t>
  </si>
  <si>
    <t>Г-ввод ул.Ленина,18А, х. Михайловка, Красносулинский р стор</t>
  </si>
  <si>
    <t>Г-ввод ул.Ленина,33/1, х. Михайловка, Красносулинский р стор</t>
  </si>
  <si>
    <t>Г-ввод ул.Ленина,33/2, х. Михайловка, Красносулинский р стор</t>
  </si>
  <si>
    <t>Г-ввод ул.Ленина,40, х. Михайловка, Красносулинский р стор</t>
  </si>
  <si>
    <t>Г-ввод ул.Ленина,44, х. Михайловка, Красносулинский р стор</t>
  </si>
  <si>
    <t>Г-ввод ул.Октябрьская,23, г. Зверево аренда</t>
  </si>
  <si>
    <t>Г-ввод ул.Победы,2а, х.Молоканский, к РГНД х.Молоканский,Красносулинский р-н,аренда</t>
  </si>
  <si>
    <t>Г-ввод ул.Юбилейная,25 х. Михайловка, Красносулинский р стор</t>
  </si>
  <si>
    <t>А.А. Ноздрачев</t>
  </si>
  <si>
    <t>Члены комиссии:</t>
  </si>
  <si>
    <t>И.О. Сафронов</t>
  </si>
  <si>
    <t xml:space="preserve">Инвентаризационная опись на объекты незавершенного строительства 
ПАО "Газпром газораспределение Ростов-на-Дону"
по состоянию на 31.12.2018
</t>
  </si>
  <si>
    <t>Г-д ул.Донская,Баумана,Промышленная,Революц,г.Константиновск,инв.000016212</t>
  </si>
  <si>
    <t>ГВД от ГРС №4 до ГРП №118, г.Ростов-на-Дону</t>
  </si>
  <si>
    <t>ГВНД ул.Кооперативная,Красноармейская,с.Самбек,Неклиновский р-н</t>
  </si>
  <si>
    <t>ГГРП п.Двуречье, Кагальницкий р-н, инв.15-42079</t>
  </si>
  <si>
    <t>ГГРП п.Комсомольский ОАО"Учхоз Зерновое"3-е отделение,инв.15-42084</t>
  </si>
  <si>
    <t>ГГРП п.Светлый Яр, Кагальницкий р-н,инв.15-10006</t>
  </si>
  <si>
    <t>ГГРП п.Сорговый 4-е отд., Кагальницкий р-н,инв.15-51808</t>
  </si>
  <si>
    <t>ГГРП п.Сорговый,Зерноградский р-н,инв.15-50483</t>
  </si>
  <si>
    <t>ГГРП п.Экспериментальный, Зерноградский р-н, инв.15-42074</t>
  </si>
  <si>
    <t>ГГРП ст.Кировская,Кагальницкий р-н,инв.15-51631</t>
  </si>
  <si>
    <t>ГГРП ст.Мечетинская, Зерноградский р-н, инв.15-42080</t>
  </si>
  <si>
    <t>ГГРП ст.Хомутовская,Кагальницкий р-н, инв.15-48218</t>
  </si>
  <si>
    <t>ГГРП ул.Октябрьская, х.Кугейский,Зерноградский р-н,инв.15-01030</t>
  </si>
  <si>
    <t>ГГРП ул.Первомайская (п.Первомайский), п.Сорговый, инв.15-50200</t>
  </si>
  <si>
    <t>ГГРП ул.Промышленная, п.Роговский, Зерноградский р-н, инв.15-01023</t>
  </si>
  <si>
    <t>ГГРП х.Вишневый (СПК"Донсвиновод" 3-е отд.), инв.15-48202</t>
  </si>
  <si>
    <t>ГГРП х.Жуково-Татарский,Кагальницкий р-н,инв.15-10011</t>
  </si>
  <si>
    <t>ГГРП х.Революционный,Кагальницкий р-н, инв.15-48092</t>
  </si>
  <si>
    <t>ГГРП х.Чернышевка (ОАО"Конный завод им.1-й Конной армии") инв.15-51799</t>
  </si>
  <si>
    <t>ГРП п.Березовая Роща,Кагальницкий р-н, инв.15-51633</t>
  </si>
  <si>
    <t>ГРП п.Кленовый ОАО"Учхоз Зерновое"4-е отделение,Кагальницкий р-н, инв.15-10054</t>
  </si>
  <si>
    <t>ГРП п.Ключевой, Кагальницкий р-н, инв.15-10007</t>
  </si>
  <si>
    <t>ГРП п.Комсомольский ОАО"Учхоз Зерновое"3-е отделение, инв.15-51648</t>
  </si>
  <si>
    <t>ГРП п.Малиновка,Зерноградский р-н, инв.15-10049</t>
  </si>
  <si>
    <t>ГРП п.Новонатальино, Кагальницкий р-н, инв.15-51636</t>
  </si>
  <si>
    <t>ГРП пер.Базарный,ст.Кагальницкая, Кагальницкий р-н, инв.15-10018</t>
  </si>
  <si>
    <t>ГРП пер.Димитрова,ст.Мечетинская,Зерноградский р-н, инв.15-51608</t>
  </si>
  <si>
    <t>ГРП пер.К.Маркса,ст.Егорлыская,Егорлыкский р-н,инв.15-01002</t>
  </si>
  <si>
    <t>ГРП пер.Кольцовский, ст.Кагальницкая,Кагальницкий р-н, инв.15-51628</t>
  </si>
  <si>
    <t>ГРП пер.Комсомольский, ст.Кагальницкая,Кагальницкий р-н,инв.15-10019</t>
  </si>
  <si>
    <t>ГРП пер.Кочеткова, ст.Егорлыская, Егорлыкский р-н, инв.15-01005</t>
  </si>
  <si>
    <t>ГРП пер.Первомайский,ст.Егорлыская, Егорлыкский р-н,инв.15-01004</t>
  </si>
  <si>
    <t>ГРП пер.Первый ,х.Войнов, Кагальницкий р-н,инв.15-01034</t>
  </si>
  <si>
    <t>ГРП пер.Семашко,Элеваторная, ст.Егорлыская, Егорлыкский р-н, инв.15-01011</t>
  </si>
  <si>
    <t>ГРП с ШП х.Донской (сушилки), Кагальницкий р-н, инв.15-51811</t>
  </si>
  <si>
    <t>ГРП ст.Егорлыская пер.Молодежный,Маяковского, инв.15-01013</t>
  </si>
  <si>
    <t>ГРП ул.Азовская,х.Черниговский, Кагальницкий р-н, инв.15-4869</t>
  </si>
  <si>
    <t>ГРП ул.Вишневая, ст.Кировская, Кагальницкий р-н,инв.15-51640</t>
  </si>
  <si>
    <t>ГРП ул.Дворцовая,ст.Кировская,Кагальницкий р-н, инв.15-51637</t>
  </si>
  <si>
    <t>ГРП ул.Железнодорожная,ст.Мечетинская, Зерноградский р-н, инв. 15-48117</t>
  </si>
  <si>
    <t>ГРП ул.Железнодорожная,х.Прощальный,Кагальницкий р-н, инв.15-01037</t>
  </si>
  <si>
    <t>ГРП ул.Зерноградская,с.Васильево-Шамшево, Кагальницкий р-н,инв.15-42078</t>
  </si>
  <si>
    <t>ГРП ул.Кривошлыкова,ст.Кировская, Кагальницкий р-н, инв.15-51641</t>
  </si>
  <si>
    <t>ГРП ул.Лелюшенко,г.Зерноград, Зерноградский р-н,инв.15-51629</t>
  </si>
  <si>
    <t>ГРП ул.Ленина,ст.Кировская, Кировский р-н,инв.15-51639</t>
  </si>
  <si>
    <t>ГРП ул.Лиманная,х.Украинский, Зерноградский р-н, 15-01036</t>
  </si>
  <si>
    <t>ГРП ул.Луговая,х.Николаевский, Кагальницкий р-н,инв.15-51635</t>
  </si>
  <si>
    <t>ГРП ул.Магистральная, х.Прогресс, Кагальницкий р-н, инв.15-01041</t>
  </si>
  <si>
    <t>ГРП ул.Мира (СПК"Донсвиновод"),с.Светлоречное, Кагальницкий р-н,инв.15-48178</t>
  </si>
  <si>
    <t>ГРП ул.Мира,х.Кугейский, Егорлыкский р-н,инв.15-01032</t>
  </si>
  <si>
    <t>ГРП ул.Мирах.Кугейский, Кагальницкий р-н, инв.15-01031</t>
  </si>
  <si>
    <t>ГРП ул.Налбандяна, х.Шаумяновский, Мясниковский р-н, инв.15-01025</t>
  </si>
  <si>
    <t>ГРП ул.Речная,ст.Мечетинская, Зерноградский р-н,инв.15-48155</t>
  </si>
  <si>
    <t>ГРП ул.Советская,ст.Егорлыская , Егорлыкский р-н, инв.15-01009</t>
  </si>
  <si>
    <t>ГРП ул.Чехова,г.Зерноград, инв.15-51368</t>
  </si>
  <si>
    <t>ГРП х.Донской, Кагальницкий р-н, инв.15-51801</t>
  </si>
  <si>
    <t>ГРПШ ул.Дачная х.Веселый, Веселовский р-н, инв.23-00196</t>
  </si>
  <si>
    <t>ГРПШ ул.Степная,сл.Большекрепинская,Родионово-Несветайский р-н,инв.23-00180</t>
  </si>
  <si>
    <t>ПНГВНД от ГРС в У-Донецк.р-не п.Усть-Донецкий,ул.Промышл,Строителей,Шахтин,Степная, инв.000015506</t>
  </si>
  <si>
    <t>Склад ул.Трактовая,53, г.Сальск</t>
  </si>
  <si>
    <t>Г-ввод Комсомольская, уч-ки 127,129,131, г.Батайск</t>
  </si>
  <si>
    <t>Г-ввод СД  ул.Чехова,375,многоквартирный жилой дом со встр.нежил.помещ., г.Таганрог</t>
  </si>
  <si>
    <t>Г-ввод СД два 133-х квар.жилых дома,г.Новочеркасск 600 м к юго-востоку от автовокзала</t>
  </si>
  <si>
    <t>Г-ввод СД пер.Зеркальный,7многоквартирный жилой дом,г.Ростов-на-Дону</t>
  </si>
  <si>
    <t>Г-д от КС Октябрьский до п.Возрожденный,Аксайский р-н</t>
  </si>
  <si>
    <t>ГВД 1 кат.от ГРС 5 до с.Большие Салы,Мясниковский р-н</t>
  </si>
  <si>
    <t>ГВД для газ-ции индивид.жилой застройки р-н Щепкинское шоссе,г.Ростов-на-Дону</t>
  </si>
  <si>
    <t>Здание магазина ПБ ул.Калинина,25, г.Белая Калитва,Белокалитвинский р-н</t>
  </si>
  <si>
    <t>ГВД от ГРС Александровская с переподкл. с.Синявское,Неклиновский р-н,п.Щедрый,Недвиговка,х.Веселый,Мясниковский р-н</t>
  </si>
  <si>
    <t>ГВД х.Надежевка,Тацинский р-н</t>
  </si>
  <si>
    <t>ГВНД ул.Встречная,г.Новочеркасск</t>
  </si>
  <si>
    <t>МГ х.Каштановский,х.Запрудный,Бокачевка,Алексеевский,Обливский р-н</t>
  </si>
  <si>
    <t>МГВД от ст.Буденновская к х.Сухой Пролетарского р РО</t>
  </si>
  <si>
    <t>ПГ п.Васильево-Петровский,Азовский р-н</t>
  </si>
  <si>
    <t>Разв.сети газ-я п.Васильево-Петровский,Азовский р-н</t>
  </si>
  <si>
    <t>РГ п.Коксовый,Белокалитвинский р-н,3 этап</t>
  </si>
  <si>
    <t>РГ ул.Русская,Заречная,х.Веселый,Мясниковский р-н</t>
  </si>
  <si>
    <t>РГ ул.Садовая,г.Новошахтинск</t>
  </si>
  <si>
    <t>РГ х.Лихой,Красносулинский р-н, 3 этап</t>
  </si>
  <si>
    <t>РГ х.Наумовский,Пролетарский р-н</t>
  </si>
  <si>
    <t>РГ х.Ребричанский,Орловский р-н</t>
  </si>
  <si>
    <t>РГ х.Сухой,Пролетарский р-н</t>
  </si>
  <si>
    <t>Пульт управления СТМ ул.Шолохова,14,г.Ростов-на-Дону</t>
  </si>
  <si>
    <t>ГРП ул.Нижне-Набережная, ст.Хомутовская,Зерноградский р-н,инв.15-49001</t>
  </si>
  <si>
    <t>ГРП х.Раково-Таврический, Кагальницкий р-н, инв.15-42082</t>
  </si>
  <si>
    <t>ГРПШ пер.Виноградный,сл.Родионово-Несветайская,Родионово-Несветайский р-н,инв.23-00067</t>
  </si>
  <si>
    <t>Г-ввод ВСД произв.помещения ул.Восточная,41, х.Калинин,Мясниковский р-н</t>
  </si>
  <si>
    <t>ГНД ул.Докукина-Южная граница города,Советская,Кирова,г.Зверево, инв.9-42021</t>
  </si>
  <si>
    <t>ГНД ул.Крупской,Вокзальн,Качалова,Безымянная,г.Зверево, инв.000013306</t>
  </si>
  <si>
    <t>ГНД ул.Ульянова, г.Гуково, инв.000016163</t>
  </si>
  <si>
    <t>ГНД ШРП 1,2,4 у.Овражн,К.Горка,Ковалева,г.Гуково,инв.000015833</t>
  </si>
  <si>
    <t>ГСД с ГРП №13 и ГНД ул.Краснодарская,Жуковск,Смоленск,Цимлянская, Добролюбова г.Гуково, инв.9-41576</t>
  </si>
  <si>
    <t>РГ от ШРП №11 п.ш. Ростовская,Гуково, инв.000013821</t>
  </si>
  <si>
    <t>РГ от ШРП №12,47,48 п.ш."Ростовская",Гуково, инв.000015026</t>
  </si>
  <si>
    <t>РГ от ШРП №17-56 п.ш. №24-26 "Русецкий",Гуково, инв.000013751</t>
  </si>
  <si>
    <t xml:space="preserve">Аппарат управления </t>
  </si>
  <si>
    <t>Г-ввод пр.Ленина,44,г.Аксай,Аксайский р-н.стор.</t>
  </si>
  <si>
    <t>Г-ввод ул.Адмирала Меньшикова,2,п.Щепкин,Аксайский р-н,стор.</t>
  </si>
  <si>
    <t>РГ х.Киров, Аксайский район, инв. 00-003545</t>
  </si>
  <si>
    <t>Г-ввод ул.Рождественская,26,п.Рассвет, Аксайский р-н,стор.</t>
  </si>
  <si>
    <t>Г-ввод ул.Адмирала Меньшикова,6,п.Щепкин,Аксайский р-н,стор.</t>
  </si>
  <si>
    <t>Г-ввод ул.Адмирала Меньшикова,14,п.Щепкин,Аксайский р-н,стор.</t>
  </si>
  <si>
    <t>Г-ввод ул.Восточная,1, п.Рассвет, Аксайский р-н, стор.</t>
  </si>
  <si>
    <t>Г-ввод ул.Крутой Спуск,11, ст.Мишкинская,Аксайский р-н.стор.</t>
  </si>
  <si>
    <t>Г-ввод ул.2-й переулок,х.Нижне-Подпольный,Аксайский р-н,стор.</t>
  </si>
  <si>
    <t>Г-ввод ул.Широкая,58-А,ст.Ольгинская,Аксайский р-н,стор.</t>
  </si>
  <si>
    <t>Г-ввод ул.Мускатная,10, х.Большой Лог,Аксайский р-н,стор.</t>
  </si>
  <si>
    <t>Г-ввод ул.Мускатная,8, х.Большой Лог,Аксайский р-н,стор.</t>
  </si>
  <si>
    <t>Г-ввод ул.Янтарная,30,г.Аксай,Аксайский р-н,стор.</t>
  </si>
  <si>
    <t>Г-ввод ул.Центральная,24/8,х.Большой Лог,Аксайский р-н,стор.</t>
  </si>
  <si>
    <t>Г-ввод ул.Торговая,15-А,х.Красный,Аксайский р-н,стор.</t>
  </si>
  <si>
    <t>Г-ввод ул.Красочная,12, СНТ Ника-4,Аксайский р-н,стор.</t>
  </si>
  <si>
    <t>ГНД ул.Демьяна Бедного до ул.Подтелкова, г.Аксай, инв.01-00201</t>
  </si>
  <si>
    <t>Г-ввод ул.Дачная,21, СНТ Ника-4, Аксайский р-н,стор.</t>
  </si>
  <si>
    <t>Г-ввод ул.Анютинская,17/50,г.Аксай,Аксайский р-н,стор.</t>
  </si>
  <si>
    <t>Г-ввод ул.Сиреневая,1568, СНТ Содружество, Аксайский р-н, стор.</t>
  </si>
  <si>
    <t>Г-ввод ул.Ландышевая,217,СНТ Содружество,Аксайский р-н,стор.</t>
  </si>
  <si>
    <t>Г-ввод ДНП Агро-клуб Усадьба,24-306,х.Махин,Аксайский р-н,стор.</t>
  </si>
  <si>
    <t>Г-ввод ул.Владимирская,7,г.Аксай,Аксайский р-н.стор.</t>
  </si>
  <si>
    <t>Г-ввод ул.Сосновая,1993, СНТ Содружество,Аксайский р-н.стор.</t>
  </si>
  <si>
    <t>Г-ввод ул.Дачная,31,ДНП Покровское,Аксайский р-н,стор.</t>
  </si>
  <si>
    <t>Г-ввод ул.Горького,18-б,п.Октябрьский,Аксайский р-н,стор.</t>
  </si>
  <si>
    <t>Г-ввод ул.Красноармейская,37ст.Ольгинская,Аксайский р-н.стор.</t>
  </si>
  <si>
    <t>Г-ввод ул.Вишневая,1204,СНТ Содружество,Аксайский р-н,стор.</t>
  </si>
  <si>
    <t>Г-ввод ул.Ромашковая,133, СНТ Содружество,Аксайский р-н,стор.</t>
  </si>
  <si>
    <t>Г-ввод ул.Заводская,22,г.Аксай,Аксайский р-н,стор.</t>
  </si>
  <si>
    <t>Г-ввод ул.Центральная,38,х.Краснодворск,Аксайский р-н,аренда</t>
  </si>
  <si>
    <t>Г-ввод ул.Мира,17, кв.4, п.Дачный, Багаевкий р-н, стор.</t>
  </si>
  <si>
    <t>Г-ввод ул.Мичурина,33, ст. Багаевская  Багаевский р-н, стор.</t>
  </si>
  <si>
    <t>Г-ввод ул.Набережная,6,х.Красный, Багаевский р-н</t>
  </si>
  <si>
    <t xml:space="preserve">Г-ввод пер.Пионерский,1-а, ст. Багаевская ,Багаевский р-н  </t>
  </si>
  <si>
    <t>Г-ввод пер.Летний,7,г.Волгодонск, стор.</t>
  </si>
  <si>
    <t>Г-ввод пер.Цветной,4,г.Волгодонск,стор.</t>
  </si>
  <si>
    <t>Г-ввод пр.Верхний,5, г.Волгодонск,стор.</t>
  </si>
  <si>
    <t>Г-ввод пр.Лазоревый,5,г.Волгодонск,стор.</t>
  </si>
  <si>
    <t>Г-ввод пр.Строителей,25,г.Волгодонск,стор.</t>
  </si>
  <si>
    <t>Г-ввод ул.Гапонова,18,ст.Дубенцовская,Волгодонской р-н,стор.</t>
  </si>
  <si>
    <t>Г-ввод ул.Заречная,58А.ст.Красноярская,Цимлянский р-н,стор.</t>
  </si>
  <si>
    <t>Г-ввод ул.Золотая,4,блок 6, г.Волгодонск,стор.</t>
  </si>
  <si>
    <t>Г-ввод ул.Золотая,4,г.Волгодонск,стор.</t>
  </si>
  <si>
    <t>Г-ввод ул.Ленинградская,12/2, г.Волгодонск,стор.</t>
  </si>
  <si>
    <t>Г-ввод ул.Мира,28, ст.Большовская,Волгодонской р-н,стор.</t>
  </si>
  <si>
    <t>Г-ввод ул.Невская,7, г.Волгодонск,стор.</t>
  </si>
  <si>
    <t>Г-ввод ул.Степана Разина,8, ст.Романовская,Волгодонской р-н,стор.</t>
  </si>
  <si>
    <t>Г-ввод ул.Химиков,11,г.Волгодонск,стор.</t>
  </si>
  <si>
    <t>Г-ввод ул.Химиков,41Х,г.Волгодонск,стор.</t>
  </si>
  <si>
    <t>Г-ввод ул.Центральная,25б,х.Мокросоленый,Волгодонской р-н,стор.</t>
  </si>
  <si>
    <t>Г-ввод пер.Береговой,1Б,ст.Красноярскаярская,Цимлянский р-н,стор.</t>
  </si>
  <si>
    <t>Г-ввод ул.60 лет Октября,39,ст.Красноярская,Цимлянский р-н,стор.</t>
  </si>
  <si>
    <t>Г-ввод ул.Гагарина,8,ст.Красноярская,Цимлянский р-н,стор.</t>
  </si>
  <si>
    <t>Г-ввод ул.Набережная,26,ст.Новоцимлянская,Цимлянский р-н,стор.</t>
  </si>
  <si>
    <t>Г-ввод ул.Центральная,51,ст.Лозновская,Цимлянский р-н,стор.</t>
  </si>
  <si>
    <t>ПАО "Газпром газораспределение Ростов-на-Дону" в г. Донецке</t>
  </si>
  <si>
    <t>Газификация п.Станичный и Брылевка, инв.№000013750</t>
  </si>
  <si>
    <t>Газопровод -ввод ул.Просторная,1А к РГНД п.Станичный и Брилевка,ГРП-12 ул.Василевского,Подтелкова,Дятлова Балка,Просторная аренда</t>
  </si>
  <si>
    <t>ГНД в гр.ул. Докучаева,Ушакова, пер.Лесной-Южный п.Гундоровский (2 очередь), инв.№10-00487</t>
  </si>
  <si>
    <t>Г-ввод западная окраина,полевой стан, отд 2,с.Лопанка,Целинский р-н,стор.</t>
  </si>
  <si>
    <t>Г-ввод ул.Батюшинская,61,х.Верхнесоленый,Веселовский р-н,стор.</t>
  </si>
  <si>
    <t>Г-ввод ул.Ленина,16п,г.Зерноград, стор.</t>
  </si>
  <si>
    <t>Г-ввод ул.Ленинская,37,п.Веселый,Веселовский р-н.стор.</t>
  </si>
  <si>
    <t>Г-ввод ул.Манежная,8,кв.3,х.Юловский,Целинский р-н,стор.</t>
  </si>
  <si>
    <t>Г-ввод ул.Октябрьская,80,с.Лопанка, Целинский р-н,стор.</t>
  </si>
  <si>
    <t>Г-ввод ул.Первомайская,66,п.Веселый,Веселовский р-н,стор.</t>
  </si>
  <si>
    <t>Г-ввод ул.Солнечная,54,ст.Егорлыкская,Егорлыкский р-н,стор.</t>
  </si>
  <si>
    <t>Г-ввод ул.Степная,18, с. Михайловка, Целинский  р-н,аренда</t>
  </si>
  <si>
    <t>Г-ввод ул.Строителей,37, г.Зерноград,стор.</t>
  </si>
  <si>
    <t>ГНД ул.Пушкина,61, г. Зерноград, Зерноградский район,инв.000014114</t>
  </si>
  <si>
    <t>ГНД ул.Черняховского, ст. Кировская, Кагальницкий р-н, инв.000014089</t>
  </si>
  <si>
    <t>ГПНД вдоль пер.Чапаева и ул.Луначарского,ст.Егорлыкская,Егорлыкский р-н,инв.15-03049</t>
  </si>
  <si>
    <t>ГПНД от № 1до № 31 по ул. Первомайская , п.Двуречье,Кагальницкий р-н,инв 15-50509</t>
  </si>
  <si>
    <t>ГПНД от № 52 по ул.Московская до № 2, ст.Кагальницкая, Кагальницкий район,инв.15-51694</t>
  </si>
  <si>
    <t>ГПНД от № 55 ул.Цветной Бульвар, до №1,пер.Больничному, г.Зерноград,инв.15-50322</t>
  </si>
  <si>
    <t>ГПНД от №40 до № 44,ул.Буденного, ст.Мечетинская,Зерноградский р-н,инв.15-45499</t>
  </si>
  <si>
    <t>ГПНД пер.Абрикосовый, г.Зерноград,инв.15-70207</t>
  </si>
  <si>
    <t>ГПНД СПК Родина х. Жуково-Татарский, Кагальницкий район инв. 15-50543</t>
  </si>
  <si>
    <t>ГПНД ул.Лелюшенко,г.Зерноград,инв.15-50777</t>
  </si>
  <si>
    <t>ГПНД ул.Садовая, ЗАО "Ростовский", Кагальницкий р-н, инв.15-51737</t>
  </si>
  <si>
    <t>ГПНД ул.Чехова ул.Шевченкодо  ул.Полевая,г.Зерноград, инв 15-45630</t>
  </si>
  <si>
    <t>ПГНД пер.Восточный, п. Междупольный, Зерноградский р, инв 15-50458</t>
  </si>
  <si>
    <t>ПГНД ул.Буденного,пер.Маяковского,Молодежный,ст.Егорлыкская,Егорлыкский р-н,инв.000016780</t>
  </si>
  <si>
    <t>ПГНД ул.Красноарм,пер.Грицика до вост.окр.от ул.Ордж-зе пер.Школьному,ст.Егорлыкской, инв.000015582</t>
  </si>
  <si>
    <t>ПНГСД ул.Коптева вдоль промзоны,п.Дубки,Зерноградский р-н, инв.000016231</t>
  </si>
  <si>
    <t>РГ п.Новопривольный Ремонтненского р РО</t>
  </si>
  <si>
    <t>РГ п.Привольный Ремонтненского р РО</t>
  </si>
  <si>
    <t>ПАО "Газпром газораспределение Ростов-на-Дону" в г. Батайске</t>
  </si>
  <si>
    <t xml:space="preserve">Г-ввод ДНТ Гидромеханизатор ул 15-я,504,г.Батайск, стор.
</t>
  </si>
  <si>
    <t xml:space="preserve">Г-ввод ул.Березовое кольцо,19,г.Батайск,стор.
</t>
  </si>
  <si>
    <t xml:space="preserve">Г-ввод ул.Ворошилова,239/Коваливского,5б,г.Батайск,стор.
</t>
  </si>
  <si>
    <t xml:space="preserve">Г-ввод ул.Гайдара,200, г.Батайск,стор.
</t>
  </si>
  <si>
    <t xml:space="preserve">Г-ввод ул.К.Цеткин,143А,г.Батайск,стор.
</t>
  </si>
  <si>
    <t xml:space="preserve">Г-ввод ул.Коваливского,74,г.Батайск,стор.
</t>
  </si>
  <si>
    <t xml:space="preserve">Г-ввод ул.Коммунальная,19,г.Батайск,стор.
</t>
  </si>
  <si>
    <t xml:space="preserve">Г-ввод ул.Комсомольская,36А,г.Батайск,стор.
</t>
  </si>
  <si>
    <t xml:space="preserve">Г-ввод ул.Куйбышева,140А,г.Батайск,стор.
</t>
  </si>
  <si>
    <t xml:space="preserve">Г-ввод ул.М.Горького,491В к ГВД 2 кат по ул.Цимлянской, 39А, г.Батайск, аренда
</t>
  </si>
  <si>
    <t xml:space="preserve">Г-ввод ул.Рыбная,2Н,г.Батайск,стор.
</t>
  </si>
  <si>
    <t xml:space="preserve">Г-ввод ул.Социалистическая,100А, г.Батайск
</t>
  </si>
  <si>
    <t xml:space="preserve">Г-ввод ул.Строителей,72,п.Мокрый Батай,Кагальницкий р-н.стор.
</t>
  </si>
  <si>
    <t xml:space="preserve">Г-ввод ул.Энгельса,347Н,г.Батайск,стор.
</t>
  </si>
  <si>
    <t xml:space="preserve">Г-ввод ул.Ясеневая,42, г.Батайск,стор.
</t>
  </si>
  <si>
    <t xml:space="preserve">Г-д по территории с/т "Гидромеханизатор",г.Батайск, инв.000014302
</t>
  </si>
  <si>
    <t xml:space="preserve">Г-д ул.Котовского, Рыбной,Калинина, г.Батайск, инв.3-030165
</t>
  </si>
  <si>
    <t xml:space="preserve">Г-д ул.М.Горького, (чет.стор) от ул.Куйбышева до ул.Луначарского, г.Батайск, инв.3-030232
</t>
  </si>
  <si>
    <t xml:space="preserve">Г-д ул.Цимлянская,Балашова,Минская,Крымская,кооп."Союз", г.Батайск, инв.3-030383
</t>
  </si>
  <si>
    <t xml:space="preserve">НГНД ул.Сальская-ул.Крымская, г.Батайск,инв.3-030385
</t>
  </si>
  <si>
    <t xml:space="preserve">ПГВД и ПГНД ул.Минская,Ейская,Эстонская,Севастопольская,кооп."Магистраль", г.Батайск, инв.3-030386
</t>
  </si>
  <si>
    <t xml:space="preserve">ПГН ул.Гоголя,95,г.Батайск,инв.3-030111
</t>
  </si>
  <si>
    <t xml:space="preserve">ПГНД ул.Иноземцева,Дружбы,г.Батайск, инв.3-030028
</t>
  </si>
  <si>
    <t xml:space="preserve">ПГНД ул.Лермонтова,84, г.Батайск, инв.3-030399
</t>
  </si>
  <si>
    <t xml:space="preserve">ПГНД ул.Луначарского,131,г.Батайск, инв.3-030110
</t>
  </si>
  <si>
    <t xml:space="preserve">ПГСД от котельной ЗМЗ по ул. Воровского до котельной МПС  г.Батайск,инв.3-030221
</t>
  </si>
  <si>
    <t xml:space="preserve">ПГСД ул.Ленина,от ул.Матросова,Бекентьева, до К.Цеткин,Совхозная,  г.Батайск,инв.3-030033
</t>
  </si>
  <si>
    <t xml:space="preserve">ПГСНД ул.1-й Пятилетки, ул.Московская от ул. Куйбышева  г.Батайск,3-030052
</t>
  </si>
  <si>
    <t xml:space="preserve">ПНГНД ул.Киевская,7, от Ленинградской,   г.Батайск, инв.3-030242
</t>
  </si>
  <si>
    <t xml:space="preserve">ПНГНД ул.Молдавская, Ставропольская, Крымская. Минская, г.Батайск инв.3-030388
</t>
  </si>
  <si>
    <t xml:space="preserve">ПНГСД и ПГНД ул.Гайдаш от ул.Ленина до Гастелло и по ул.Матросова г.Батайск. инв.3-030088
</t>
  </si>
  <si>
    <t>Г-ввод ул.Производственная,5Б,г.Батайск,стор.</t>
  </si>
  <si>
    <t>ПНГНД ул.Можайского,Седова,ЮНекрасова,Речная,Коммунистический,пер.Семашко, г.Батайск, инв.3-030228</t>
  </si>
  <si>
    <t>Г-ввод пер.Котовского2,п.Тарасовский,Тарасовский р-н,стор.</t>
  </si>
  <si>
    <t>15.10.2018</t>
  </si>
  <si>
    <t xml:space="preserve">РГ ул.Московская, Грибоедова, Заводская, Тургенева, Пролетарская мкр Колодезное п. Тарасовский </t>
  </si>
  <si>
    <t>07.12.2018</t>
  </si>
  <si>
    <t>Г-ввод пер.Звездный,12,г.Миллерово к НГ пер.Звездный,2-14,пер.Овражный,3-13, г.Миллерово,аренда</t>
  </si>
  <si>
    <t>06.12.2018</t>
  </si>
  <si>
    <t>Г-ввод ул.Вокзальная,26,ст.Мальчевская,  к НГ ул.Социалистическая,4А,ул.40 Лет Октября,ст.Мальчевская,Миллеровский р-н,аренда</t>
  </si>
  <si>
    <t>Г-ввод ул.Добролюбова,54/41, г.Миллерово, к НГ ул.Менделеева, г.Миллерово,аренда</t>
  </si>
  <si>
    <t>23.11.2018</t>
  </si>
  <si>
    <t>Г-ввод ул.Московская,173,г.Миллерово, к НГ ул.Московская, 155-157,154-162,ул.Некрасова,г.Миллерово,аренда</t>
  </si>
  <si>
    <t>ПГВД ул.Декабристов,Артиллерийская, г.Миллерово,инв.20-Ф0041</t>
  </si>
  <si>
    <t>Г-ввод ул. Жукова 203 г. Морозовск</t>
  </si>
  <si>
    <t>Г-ввод ул. Зеленского 74Ж г Морозовск</t>
  </si>
  <si>
    <t>Г-ввод ул. Коммунистическая 225 г Морозовск</t>
  </si>
  <si>
    <t>Г-ввод ул. Советская 4 г Морозовск</t>
  </si>
  <si>
    <t>Г-ввод ул. Центральная 128 х Грузинов Морозовский р-он</t>
  </si>
  <si>
    <t>Г-ввод ул. Центральная 81 х Грузинов Морозовский р-он</t>
  </si>
  <si>
    <t>Г-ввод ул. Центральная 27 х Общий Морозовский р-он</t>
  </si>
  <si>
    <t>Г-ввод ул. Энтузиастов 22 х Общий Морозовский р-он</t>
  </si>
  <si>
    <t>ПАО "Газпром газораспределение Ростов-на-Дону" в г. Морозовск</t>
  </si>
  <si>
    <t>ПАО "Газпром газораспределение Ростов-на-Дону" в г. Новочеркасске</t>
  </si>
  <si>
    <t>Г-ввод С/Т 2 (АО Магнит), 66 лит А,г. Новочеркасск стор</t>
  </si>
  <si>
    <t>Г-ввод с/т Казачок,уч-к 88, лит.В,г.Новочеркасск, стор.</t>
  </si>
  <si>
    <t>Г-ввод с/т 11,ул.Вторая,уч-к 68,г.Новочеркасск,стор.</t>
  </si>
  <si>
    <t>Г-ввод ул.8 Марта,64а,лит.А,г.Новочеркасск,аренда</t>
  </si>
  <si>
    <t>Г-ввод ул.Ветеринарная,81,лит.Г,г.Новочеркасск,аренда</t>
  </si>
  <si>
    <t>Г-ввод ул.Пятая,5,СНТ 8 Мичуринец,г.Новочеркасск,стор.</t>
  </si>
  <si>
    <t>Г-ввод ул.Земледельческая,17,г.Новочеркасск,стор.</t>
  </si>
  <si>
    <t>Г-ввод НСО Персиановское,уч.312, ул.Звездная,Октябрьский р-н,стор.</t>
  </si>
  <si>
    <t>Г-ввод ул.Садовая,2,ул.Грушевская,28, лит.Д.,г.Новочеркасск,аренда</t>
  </si>
  <si>
    <t xml:space="preserve">Г-ввод пр.Платовский,61-б,г.Новочеркасск,арендаГ-ввод </t>
  </si>
  <si>
    <t>Г-ввод пр.Ермака,106,г.Новочеркасск,аренда</t>
  </si>
  <si>
    <t>31.06.19</t>
  </si>
  <si>
    <t>Г-ввод с/т Электрон пер.Спасский,уч-к 58,лит.А,г.Новочеркасск,стор.</t>
  </si>
  <si>
    <t>Г-ввод с/т 110, ул.Бугровой, ул.Логина Фрикке,3, уч-кк 118, лит.А,г.Новочеркасск,стор.</t>
  </si>
  <si>
    <t>Г-ввод ул.Правды,48,лит.А,И,г.Новочеркасск,аренда</t>
  </si>
  <si>
    <t>ГСНД в гр.п.Братский, ул.Астраханск, п.Тимирязева,ул.Нечаева п.Татарка г.Новочеркасск, инв.000014705</t>
  </si>
  <si>
    <t>Г-ввод ул.Дубовского,18б,г.Новочеркасск,аренда</t>
  </si>
  <si>
    <t>ПАО "Газпром газораспределение Ростов-на-Дону" в г.Новочеркасск</t>
  </si>
  <si>
    <t>Г-ввод ул.Ботаническая,9А,г.Гуково в к газ-я жил.мкр №42 в пос.ш.Антрацит,г.Гуково, аренда</t>
  </si>
  <si>
    <t>Г-ввод ул.Вокзальная,24/8,газ-ция 1 оч.г.Зверево,аренда</t>
  </si>
  <si>
    <t>Г-ввод ул.Комсомольская,50, г.Гуково,стор.</t>
  </si>
  <si>
    <t>Г-ввод ул.Ленина,26,х.Михайловка,Красносулинский р-н,стор.</t>
  </si>
  <si>
    <t>ГНВСД п.Алмазный,г.Гуково, инв.000013047</t>
  </si>
  <si>
    <t>в т.ч.</t>
  </si>
  <si>
    <t>ул.Ленина,12</t>
  </si>
  <si>
    <t>в т. ч.</t>
  </si>
  <si>
    <t>Г-ввод ул.Лущинина,19/1, к ГНД ул.Лущинина,Л.Толстого,Некрасова,г.Гуково,аренда</t>
  </si>
  <si>
    <t>ул. Советская,151а</t>
  </si>
  <si>
    <t>ул. Октябрьская,20</t>
  </si>
  <si>
    <t>ул. Верхняя,30</t>
  </si>
  <si>
    <t>ул.Чапаева,104</t>
  </si>
  <si>
    <t>ул.Димитрова 29 кв 1</t>
  </si>
  <si>
    <t>Г-ввод ул.Почтовая,10,кв.2,пос.Первомайский,Красносулинский р-н.стор.</t>
  </si>
  <si>
    <t>ул. Шверника,17</t>
  </si>
  <si>
    <t>Ул.Парижской Коммуны,34</t>
  </si>
  <si>
    <t>ул.Базарная,51 кв 4</t>
  </si>
  <si>
    <t>ул. Лавренева,65</t>
  </si>
  <si>
    <t>Газ-я 1 оч ,ГНД для ч/с у. Мусоргского, Халтурина, Пархоменко, 47 Гв. Дивизии, г. Зверево,аренда</t>
  </si>
  <si>
    <t>ул Советская 127</t>
  </si>
  <si>
    <t>ул.Колхозная,6</t>
  </si>
  <si>
    <t>в т.ч.                                                       Мичурина 20</t>
  </si>
  <si>
    <t>Лермонтова 10</t>
  </si>
  <si>
    <t>Советская 32</t>
  </si>
  <si>
    <t>ул.Красноармейская,11</t>
  </si>
  <si>
    <t>Ул.Осипенко,50</t>
  </si>
  <si>
    <t>в т.ч.                                                        Горького 111</t>
  </si>
  <si>
    <t>Советская 151А</t>
  </si>
  <si>
    <t>Октябрьская 20</t>
  </si>
  <si>
    <t>Чапаева 115</t>
  </si>
  <si>
    <t>Чапаева 34</t>
  </si>
  <si>
    <t>Чапаева 126</t>
  </si>
  <si>
    <t>Ленина 86</t>
  </si>
  <si>
    <t>в т.ч.                                                           Ульянова 36</t>
  </si>
  <si>
    <t>в т.ч.                                            Пролетарская 125 А</t>
  </si>
  <si>
    <t>Комсомольская 7/4</t>
  </si>
  <si>
    <t>Садовая 13А/4</t>
  </si>
  <si>
    <t>Верхняя 44</t>
  </si>
  <si>
    <t>Лавренева 53</t>
  </si>
  <si>
    <t>в т..ч.                                               Ленинградская 27Б</t>
  </si>
  <si>
    <t>РГ от ШРП № 3, 55 в пос.шахты Антрацит г.Гуково</t>
  </si>
  <si>
    <t>в т.ч.                                                Буденного 30</t>
  </si>
  <si>
    <t>Криничная 131</t>
  </si>
  <si>
    <t>Криничная 133 А</t>
  </si>
  <si>
    <t>Матросова 39</t>
  </si>
  <si>
    <t>Красная Горка 104/1</t>
  </si>
  <si>
    <t>Буденного 55</t>
  </si>
  <si>
    <t>Криничная 94А</t>
  </si>
  <si>
    <t>Красная Горка 100/2</t>
  </si>
  <si>
    <t>Правды 2/1</t>
  </si>
  <si>
    <t>Красная Горка 108</t>
  </si>
  <si>
    <t>Буденного 9</t>
  </si>
  <si>
    <t>Правды 36</t>
  </si>
  <si>
    <t>Подбельского 7/1</t>
  </si>
  <si>
    <t>Буденного 47</t>
  </si>
  <si>
    <t>Криничная 96</t>
  </si>
  <si>
    <t>Криничная 136</t>
  </si>
  <si>
    <t>Криничная 167</t>
  </si>
  <si>
    <t>в т.ч.                                                       Огородняя 43</t>
  </si>
  <si>
    <t>в т.ч.                                                           Осипенко 50</t>
  </si>
  <si>
    <t>Победы 74</t>
  </si>
  <si>
    <t>РГ от ШРП №18,57 п.ш. №24-26 "Русецкий",Гуково, инв 00-000511</t>
  </si>
  <si>
    <t>в т.ч.                                                    Горького 29</t>
  </si>
  <si>
    <t>Пушкина 79А</t>
  </si>
  <si>
    <t>РГ х.Гуково Красносулинского р-н,инв.00-003280</t>
  </si>
  <si>
    <t>в т.ч.                                                         Степная 18А</t>
  </si>
  <si>
    <t>Степная 95</t>
  </si>
  <si>
    <t>Г-ввод ул. Возрождения,3 к ГНД по ул. Возрождения 4,6,8 пер. Радостный и дому по ул. Вербная 16-20, ул. Виноградная 46-50 г. Гуково, дог. Муниц. Аренды №2/ак/2017/02</t>
  </si>
  <si>
    <t>Г-ввод ул.Поленова,20,г.Новошахтинск к РГ ул.Рыбалко-Паленова-Кулибина-Виногр,г.Новошахтинск,аренда</t>
  </si>
  <si>
    <t>02.087.2018</t>
  </si>
  <si>
    <t>Г-ввод ул.Советской Конституции,38, г.Новошахтинск,стор.</t>
  </si>
  <si>
    <t>31.02.2019</t>
  </si>
  <si>
    <t>Г-ввод ул.Харьковская,85А, г.Новошахтинск к РГНД ул.Зорге,6,38,Харьков,г.Новошахтинск,аренда</t>
  </si>
  <si>
    <t>Г-ввод пр. Ленина,21/16 К РНСГНДул. Отечественная,Кирова г. Новошахтинск РО (Договор аренды с КУИ города Новошахтинска №21/09 от 236.01.2009г. Приложение№1)</t>
  </si>
  <si>
    <t>Ф-л ПАО «Газпром газораспределение Ростов-на-Дону» в г. Новошахтинске</t>
  </si>
  <si>
    <t>Ф-л ПАО «Газпром газораспределение Ростов-на-Дону» в п. Орловском</t>
  </si>
  <si>
    <t>Ф-л ПАО «Газпром газораспределение Ростов-на-Дону» в г. Семикаракорске</t>
  </si>
  <si>
    <t>Г-ввод 1300 км. СКЖД СНТ Обильное,учк 27, к ВНГ СТ Голуб.ели,Неклиновский р-н,аренда</t>
  </si>
  <si>
    <t>Г-ввод 1300 км. СКЖД СНТ Приморье, уч-к 144,Неклиновский р-н, стор.</t>
  </si>
  <si>
    <t>Г-ввод 1300 км.СКЖД, СНТ Металлург-3,уч-к 505,Неклиновский р-н,стор.</t>
  </si>
  <si>
    <t>Г-ввод 3-й Линейный,56,пер.9Новый,24,г.Таганрог, к ГНД ЛИНПР,г.Таганрог,аренда</t>
  </si>
  <si>
    <t>Г-ввод ДНТ Полет,348,с.Николаевка,Неклиновский р-н,стор.</t>
  </si>
  <si>
    <t>Г-ввод ДНТ Полет,503,с.Николаевка,Неклиновский р-н,стор.</t>
  </si>
  <si>
    <t>Г-ввод ДНТ Ромашка,53,с.Николаевка,Неклиновский р-н,стор.</t>
  </si>
  <si>
    <t>Г-ввод ДНТ Ромашка,54, с.Николаевка,Неклиновский р-н,стор.</t>
  </si>
  <si>
    <t>Г-ввод Мариупольское шоссе,10, ДНТ Яблочко,уч-к 31,г.Таганрог,стор.</t>
  </si>
  <si>
    <t>Г-ввод Мариупольское шоссе,49-1, г.Таганрог,стор.</t>
  </si>
  <si>
    <t>Г-ввод Неклиновский Энергетик,52, с.Николаевка, к ВНГ с.Николаевка,Гаевка,АГРС, Троиц,Неклиновский р-н,аренда</t>
  </si>
  <si>
    <t>Г-ввод Николаевское шоссе,7-а,СНТ Радуга,ал.10,уч-к 62,г.Таганрог,стор.</t>
  </si>
  <si>
    <t>Г-ввод Николаевское шоссе,7-а,СНТ Радуга,ал.15,уч-к 62,г.Таганрог,стор.</t>
  </si>
  <si>
    <t>Г-ввод пер.10 Новый,105, г.Таганрог, к ГСД 1001, 8м,Дачная,аренда</t>
  </si>
  <si>
    <t>Г-ввод пер.15-й Новый,62,г.Таганрог,стор.</t>
  </si>
  <si>
    <t>Г-ввод пер.3-й Мариупольский,14,г.Таганрог,стор.</t>
  </si>
  <si>
    <t>Г-ввод пер.4 Мариупольский,26,ул.Петлякова,31, г.Таганрог, стор.</t>
  </si>
  <si>
    <t>Г-ввод пер.7-й Новый,112, г.Таганрог, стор.</t>
  </si>
  <si>
    <t>Г-ввод пер.Большой,6-а,с.Новобессергеневка к ПГ ГГРП Комаровка,Неклиновский р-н,аренда</t>
  </si>
  <si>
    <t>Г-ввод пер.Малый,8-а,с.Большая Неклиновка, к г-ду с.Большая Неклиновка,Малая Неклиновка,Неклиновский р-н,аренда</t>
  </si>
  <si>
    <t>Г-ввод пер.Первомайский,39б,с.Андреево-Мелентьево, к ВНГ ул.Октяб,Первом,Молодеж,Неклиновский р-н,аренда</t>
  </si>
  <si>
    <t>Г-ввод пер.Хуторской,3,г.ТАганрог к ГВД с.Михайловка, г.Таганрог,аренда</t>
  </si>
  <si>
    <t>Г-ввод Полет сад,314,с.Николаевка,Неклиновский р-н,стор.</t>
  </si>
  <si>
    <t>Г-ввод с/т Любитель,92, х.Грузиновка,Неклиновский р-н,стор.</t>
  </si>
  <si>
    <t xml:space="preserve">Г-ввод с/т Прибой,169, с.Николаевка,Неклиновский р-н, стор.  </t>
  </si>
  <si>
    <t>Г-ввод с/т Прибой,353,с.Николаевка,Неклиновский р-н,стор.</t>
  </si>
  <si>
    <t>Г-ввод с/т Рассвет,уч-к 80,г.Таганрог, стор.</t>
  </si>
  <si>
    <t>Г-ввод Северо-Западное шоссе,1-а,с/т Ягодка,88,г.Таганрог,стор.</t>
  </si>
  <si>
    <t>Г-ввод Северо-Западное шоссе,3-2,ДНТ Педагог,уч-к 314,г.Таганрог,стор.</t>
  </si>
  <si>
    <t>Г-ввод СНТ Авангард,29,с.Вареновка, к ВНГ АГРС с.Самбек,Неклиновский р-н, аренда</t>
  </si>
  <si>
    <t>Г-ввод СНТ Альбатрос,136,с.Николаевка,Неклиновский р-н.стор.</t>
  </si>
  <si>
    <t>Г-ввод СНТ Голубые ели,11, х.Мержаново,Неклиновский р-н,аренда</t>
  </si>
  <si>
    <t>Г-ввод СНТ Коммунальник-1,уч-к 56,г.Таганрог,стор.</t>
  </si>
  <si>
    <t>Г-ввод СНТ Котлостроитель,154,г.Таганрог,стор.</t>
  </si>
  <si>
    <t>Г-ввод СНТ Мечта,14, с.Мержаново,Неклиновский р-н,стор.</t>
  </si>
  <si>
    <t>Г-ввод ст Педагог,170, г.Таганрог,стор.</t>
  </si>
  <si>
    <t>Г-ввод ул.Б.Хмельницкого,21а,г.Таганрог, к ГНД Гоголевский,г.Таганрог,аренда</t>
  </si>
  <si>
    <t>Г-ввод ул.Больничная,6, 25, пер.29,г.Таганрог, к ГНД ТРАМ,КУЗН, г.Таганрог,аренда</t>
  </si>
  <si>
    <t>Г-ввод ул.Буяновская,39,г.Таганрог, к ГНД Островского,Дзержинск,г.Таганрог,аренда</t>
  </si>
  <si>
    <t>Г-ввод ул.Восточная,11-б,с.Новобессергеневка,Неклиновский р-н,стор.</t>
  </si>
  <si>
    <t>Г-ввод ул.Ждановская,17,Виноградная,18,г.Таганрог, к ГНД Вернхяя,Полугорка,г.Таганрог,аренда</t>
  </si>
  <si>
    <t>Г-ввод ул.Заводская,16,п.Подлесный,Матвеево-Круганский р-н,стор.</t>
  </si>
  <si>
    <t>Г-ввод ул.Инициативная,30,с.Новобессергеневка,Неклиновский р-н,стор.</t>
  </si>
  <si>
    <t>Г-ввод ул.Кедровая,24,с.Новобессергеновка,Неклиновский р-н,стор.</t>
  </si>
  <si>
    <t>Г-ввод ул.Кольцова,31,х.Гаевка, к ГНГ с.Николаевка,с.Гаевка,АГРС Троицк,Неклиновский р-н,аренда</t>
  </si>
  <si>
    <t>Г-ввод ул.Крупской,19-а,с.Синявское, к ВНГ Буденновский Спуск,Неклиновский р-н,аренда</t>
  </si>
  <si>
    <t>Г-ввод ул.Крупской,2-а,с.Синявское,Неклиновский р-н,стор.</t>
  </si>
  <si>
    <t>Г-ввод ул.Ленина,4-а,с.Латоново к ГНД с.Латоново,Матвеево-Курганский р-н,аренда</t>
  </si>
  <si>
    <t>Г-ввод ул.Лермонтова,2,с.Троицкое, к ВНГ с.Троиц,Кошкино,Неклиновский р-н,аренда</t>
  </si>
  <si>
    <t>Г-ввод ул.Лесная,32,с.Новобессергеневка,Неклиновский р-н.стор.</t>
  </si>
  <si>
    <t>Г-ввод ул.Лесная,42,с.Новобессерегеновка,Неклиновский р-н,стор.</t>
  </si>
  <si>
    <t>Г-ввод ул.М.Горького,24,г.Таганрог, к ГНД А.Глушко,аренда</t>
  </si>
  <si>
    <t>Г-ввод ул.М.Лиманная,2-1,СНТ Лиман,уч-к 42,г.Таганрог,стор.</t>
  </si>
  <si>
    <t>Г-ввод ул.Мира,14,с.Екатериновка,Матвеево-Курганский р-н,стор.</t>
  </si>
  <si>
    <t>Г-ввод ул.Миуская,14, х.Большая Кирсановка,Неклиновский р-н,стор.</t>
  </si>
  <si>
    <t>Г-ввод ул.Молодежная,37, х.Староротовка к ГСД с.Староротовка,Матвеево-Курганский р-н,аренда</t>
  </si>
  <si>
    <t>Г-ввод ул.Морозова,14д,.с.Новобессергеневка,Неклиновский р-н,стор.</t>
  </si>
  <si>
    <t>Г-ввод ул.Октябрьская,27,с.Латоново к ГНД с.Латоново,Матвеево-Курганский р-н,аренда</t>
  </si>
  <si>
    <t>Г-ввод ул.Ольховая,6,п.Матвеево-Курган, к РГСД ул.Агроном,Матвеево-Курганский р-н,аренда</t>
  </si>
  <si>
    <t>Г-ввод ул.Пархоменко,58-2,г.Таганрог, к ГНД Жилмас, Русскпол,г.Таганрог,аренда</t>
  </si>
  <si>
    <t>Г-ввод ул.Петлякова,48, 5-й Мариупольский,23, г.Таганрог,стор.</t>
  </si>
  <si>
    <t>Г-ввод ул.Пионерская,9,х.Веселый, К ВНГ х.Русский Колодец,Неклиновский р-н,аренда</t>
  </si>
  <si>
    <t>Г-ввод ул.Примиусская,11-а,с.Покровское, к ГНД 2м,Фрунзе-Примиусская,Неклиновский р-н,аренда</t>
  </si>
  <si>
    <t>Г-ввод ул.Пушкина,82,с.Русская Слободка, к ВНГ х.Русский колодец,Неклиновский р-н,аренда</t>
  </si>
  <si>
    <t>Г-ввод ул.Пушкинская,42,с.Политотдельское к ГНД ул.Рост,Пушк,Восточ, Матвеево-Курганский р-н,аренда</t>
  </si>
  <si>
    <t>Г-ввод ул.Р.Люксембург,14 перулок,212/64, г.Таганрог, ГНД Руд,Плех, Энерг, г.Таганрог, аренда</t>
  </si>
  <si>
    <t>Г-ввод ул.Речная,17,с.Новобессергеновка,Неклиновский р-н,стор.</t>
  </si>
  <si>
    <t>Г-ввод ул.Рябиновая,54,г.Таганрог,стор.</t>
  </si>
  <si>
    <t>Г-ввод ул.Садовая,12,г.Таганрог, к ГНД А.Глушко,г.Таганрог,аренда</t>
  </si>
  <si>
    <t>Г-ввод ул.Садовая,6, х.Большая Кирсановка,Неклиновский р-н,стор.</t>
  </si>
  <si>
    <t>Г-ввод ул.Свободы,20а,с.Новобессергеневка,Неклиновский р-н,стор.</t>
  </si>
  <si>
    <t>Г-ввод ул.Северная,44, х.Красный Десант, к ВНГ х.Русский Колодец,Неклиновский р-н,аренда</t>
  </si>
  <si>
    <t>Г-ввод ул.Солнечная,7, с.Новобессергеновка,Неклиновский р-н,стор.</t>
  </si>
  <si>
    <t>Г-ввод ул.Солнечная,9,с.Новобессерегеновка,Неклиновский р-н,стор.</t>
  </si>
  <si>
    <t>Г-ввод ул.Социалистическая,34,пер.Крестьянский,27,г.Таганрог, к ГНД пер.Крестьян,Кольцев,г.Таганрог,аренда</t>
  </si>
  <si>
    <t>Г-ввод ул.Социалистическая,43,г.Таганрог, к ГНД ул.Котлярова,аренда</t>
  </si>
  <si>
    <t>Г-ввод ул.Транспортная,33,с.Новобессергеневка, к ПГ ГГРП Комаровка,Неклиновский р-н,аренда</t>
  </si>
  <si>
    <t>Г-ввод ул.Транспортная,48-9,г.Таганрог,стор.</t>
  </si>
  <si>
    <t>Г-ввод ул.Чехова,104а,г.Таганрог, к ГНД ул.Греческая,г.Таганрог,аренда</t>
  </si>
  <si>
    <t>Г-ввод ул.Чехова,259,г.Таганрог, к ГНД 19-й переулок, аренда</t>
  </si>
  <si>
    <t>Г-ввод ул.Шевченко,272а,г.Таганрог, к ГНД Грозненская,г.Таганрог,аренда</t>
  </si>
  <si>
    <t>Г-ввод ул.Энгельса,52а,г.Таганрог, к ГНД А.Глушко,г.Таганрог,аренда</t>
  </si>
  <si>
    <t>Г-ввод ул.Энергетическая,51,г.Таганрог,к ГНД п.Тольятти,аренда</t>
  </si>
  <si>
    <t>Г-ввод ул.Южная,153,с/т Прибой,с.Николаевка,Неклиновский р-н, стор.</t>
  </si>
  <si>
    <t>Г-ввод ул.Янтарная,26,с.Новобессергеневка,Неклиновский р-н,стор.</t>
  </si>
  <si>
    <t>Г-ввод ул.Янтарная,5,с.Новобессергеневка,Неклиновский р-н,стор.</t>
  </si>
  <si>
    <t xml:space="preserve">ГСНД  с.Миллерово, Куйбышеского района,инв.22-05811 </t>
  </si>
  <si>
    <t>ПАО "Газпром газораспределение Ростов-на-Дону" в с. Чалтырь</t>
  </si>
  <si>
    <t>МГВСНД с.Крым,с.Чалтырь,х.Александровка, Мясниковский район, инв.22-00122</t>
  </si>
  <si>
    <t>Г-ввод ул.Свободы,17,х.Ленинакан,Мясниковский р-н, стор.</t>
  </si>
  <si>
    <t>Г-ввод ул.Г.Бабияна,24,с.Крым,Мясниковский р-н,стор.</t>
  </si>
  <si>
    <t>Г-ввод ул.Секизяна,27а,с.Крым,Мясниковский р-н,стор.</t>
  </si>
  <si>
    <t>НГНД ул.Лукашина, х.Ленинакан, Мясниковский р-н,инв.22-00954</t>
  </si>
  <si>
    <t>Г-ввод ул.Полевая,24,с.Крым,Мясниковский р-н,стор.</t>
  </si>
  <si>
    <t>Г-ввод ул.Прохладная,8,п.Озерный, Мясниковский р-н,стор.</t>
  </si>
  <si>
    <t>Г-ввод с/т Солнышко,74,Мясниковский р-н,стор.</t>
  </si>
  <si>
    <t>Г-ввод ул.Кардашяна,1,с.Крым,Мясниковский р-н,стор.</t>
  </si>
  <si>
    <t>Г-ввод ул.13-я Линия,20б,с.Крым,Мясниковский р-н,стор.</t>
  </si>
  <si>
    <t>Г-ввод ул.50 лет Победы,79,с.Чалтырь,Мясниковский р-н,стор.</t>
  </si>
  <si>
    <t>Г-ввод СТ Солнышко, уч-к,35, Мясниковский р-н, стор.</t>
  </si>
  <si>
    <t>Г-ввод ул.Кавказская,1б, х.Ленинаван,Мясниковский р-н,стор.</t>
  </si>
  <si>
    <t>Г-ввод ул.18-я Линия,3/2,с.Крым, Мясниковский р-н,стор.</t>
  </si>
  <si>
    <t>Г-ввод ул.Набережная,153а, х.Калинин,Мясниковский р-н,стор.</t>
  </si>
  <si>
    <t>Г-ввод ул.Олимпийская,33, х.Красный Крым, Мясниковский р-н, стор.</t>
  </si>
  <si>
    <t>Г-ввод ул.Ландышевая,14,х.Ленинаван,Мясниковский р-н,стор.</t>
  </si>
  <si>
    <t>Г-ввод ул.М.Пегливановой,5,х.Красный Крым,Мясниковский р-н,стор.</t>
  </si>
  <si>
    <t>Г-ввод ул.Пушкинская,23,х.Ленинаван,Мясниковский р-н,стор.</t>
  </si>
  <si>
    <t>Г-ввод ул.Свободы,8,х.Красный Крым,Мясниковский р-н,стор.</t>
  </si>
  <si>
    <t>Г-ввод ул.Пушкинская,9,х.Ленинаван,Мясниковский р-н,стор.</t>
  </si>
  <si>
    <t>Г-ввод ул.Донская,6-бе,х.Калинин,Мясниковский р-н.стор.</t>
  </si>
  <si>
    <t>Г-ввод ул.Терновый тупик,6,г.Ростов-на-Дону,стор.</t>
  </si>
  <si>
    <t>Г-ввод ул.Первомайская,78,х.Хапры,Мясниковский р-н,стор.</t>
  </si>
  <si>
    <t>Г-ввод ул.М.Жукова,28,с.Крым,Мясниковский р-н,стор.</t>
  </si>
  <si>
    <t>Г-ввод ул.1-я Ковровая,45-б,г.Ростов-на-Дону,стор.</t>
  </si>
  <si>
    <t>Г-ввод ул.3-я Ковровая,100-а,г.Ростов-на-Дону,стор.</t>
  </si>
  <si>
    <t>Г-ввод ул.Вечерняя,20, ДНТ Стимул,Мясниковский р-н,стор.</t>
  </si>
  <si>
    <t>Г-ввод ул.Цветочная,1, Поселок Озерный,Мясниковский р-н,стор.</t>
  </si>
  <si>
    <t>Г-ввод ул.Провинциальная,6,г.Ростов-на-Дону,стор.</t>
  </si>
  <si>
    <t>ПГНД ул.Пролетарская с.Султан- Салы, Мясниковский р-н, инв.22-00942</t>
  </si>
  <si>
    <t>Г-ввод ул.Свободы,18,х.Красный Крым,Мясниковский р-н, стор.</t>
  </si>
  <si>
    <t>Г-ввод ул.Садовая,1а,х.Ленинаван,Мясниковский р-н,стор.</t>
  </si>
  <si>
    <t>Г-ввод ул.Садовая,1б,х.Ленинаван,Мясниковский р-н,стор.</t>
  </si>
  <si>
    <t>Г-ввод ул.Тащияна,50а,с.Чалтырь,Мясниковский р-н,стор.</t>
  </si>
  <si>
    <t>Г-ввод ул.Орджоникидзе,29,х.Ленинаван,Мясниковский р-н,стор.</t>
  </si>
  <si>
    <t>Г-ввод ул.Красная,16,х.Красный Крым,Мясниковский р-н.стор.</t>
  </si>
  <si>
    <t>Г-ввод ул.Вишневая,15, Поселок Озерный, Мясниковский р-н,стор.</t>
  </si>
  <si>
    <t>Г-ввод ул.Апельсиновая,3,г.Ростов-на-Дону,стор.</t>
  </si>
  <si>
    <t>Г-ввод ул.Донская,1/48,х.Ленинаван,Мясниковский р-н,стор.</t>
  </si>
  <si>
    <t>ПГВД от врезки до ГРП с.Султан Салы,Мясниковский р-н,инв.22-00149</t>
  </si>
  <si>
    <t>Г-ввод ул.Олимпийская,16,х.Красный Крым, Мясниковский р-н,стор.</t>
  </si>
  <si>
    <t>Г-ввод ул.Железнодорожная,72б,х.Недвиговка,Мясниковский р-н,стор.</t>
  </si>
  <si>
    <t>Г-ввод ул.Цветочная,29, Поселок Озерный,Мясниковский р-н,стор.</t>
  </si>
  <si>
    <t>Г-ввод ул.Орджоникидзе,32/2,х.Ленинаван,Мясниковский р-н,стор.</t>
  </si>
  <si>
    <t>Г-ввод ул.Кристостуряна,3,с.Чалтырь,Мясниковский р-н,стор.</t>
  </si>
  <si>
    <t>Г-ввод ул.Турмалиновская,2,х.Красный Крым, Мясниковский р-н,стор.</t>
  </si>
  <si>
    <t>Г-ввод ул.Дачная,12,х.Ленинаван,Мясниковский р-н,стор.</t>
  </si>
  <si>
    <t>ГНД ул.Железнодорожная,45,52, г.Сальск, инв.000013691</t>
  </si>
  <si>
    <t>ГСД с.Березовка,Сальский район,инв 31-03340</t>
  </si>
  <si>
    <t>ПГСД ул.Октябрьская,ул.Пришкольная,ул.Садовая,ул.Степная, с.Бараники, Сальский район,инв.31-03220</t>
  </si>
  <si>
    <t>ПНГНД ул.Воровского,Верхняя,Прямая,Целинная, г.Сальск,инв.000015903</t>
  </si>
  <si>
    <t>ПНГСНД ул.Буденного,И.Яицкого,Полуляшк,Кирова,Школь, Ленина, с.Ивановка, Сальский р-н, инв.000015908</t>
  </si>
  <si>
    <t>Г-ввод ул.Калинина,61,с.Песчанокопское,Песчанокопский р-н,стор.</t>
  </si>
  <si>
    <t>Г-ввод ул.Родниковая,8,г.Сальск,стор.</t>
  </si>
  <si>
    <t>ГВНД ул.Халтурина,пос.Мехлесхоз, г.Сальск, инв.31-03337</t>
  </si>
  <si>
    <t xml:space="preserve">ПАО "Газпром газораспределение Ростов-на-Дону" в г. Сальске </t>
  </si>
  <si>
    <t xml:space="preserve">ПАО "Газпром газораспределение Ростов-на-Дону" в г. Белая Калитва </t>
  </si>
  <si>
    <t>г-вод пер.Школьный1 п.Жирнов Тацинский р-н к г-ду п.Жирнов, аренда</t>
  </si>
  <si>
    <t>г-ввод ул.Бирюзовая 8 х.Нижний Попов, Белокалитвинский р-н, стор</t>
  </si>
  <si>
    <t>г-ввод ул.Заречная 5А п.Сосны к ГНД ул.Заречная п.Сосны Белокалитвинский р-н, аренда</t>
  </si>
  <si>
    <t>г-ввод ул.Колхозная 17 г.Белая Калитва к ГНД ул.Колхозная г.Белая Калитва</t>
  </si>
  <si>
    <t>г-ввод ул.Колхозная 18 г.Белая Калитва к ГНД ул.Колхозная г.Белая Калитва</t>
  </si>
  <si>
    <t>г-ввод ул.Колхозная 19 г.Белая Калитва к ГНД ул.Колхозная г.Белая Калитва</t>
  </si>
  <si>
    <t>г-ввод ул.Октябрьская 109, г.Белая Калитва к г-ду ул.Октябрьская г.Белая Калитва, аренда</t>
  </si>
  <si>
    <t>г-ввод ул.Перомайская 1А х.Дороговский к ГНД х.Дороговский Белокалитвинский р-н. аренда</t>
  </si>
  <si>
    <t>г-ввод ул.Солнечная 23 п.Шолоховский к ГНД п.Шолоховский Белокалитвинский р-н, аренда</t>
  </si>
  <si>
    <t>ГСНД П.Синегорский Белокалитвинский район инв 000014695</t>
  </si>
  <si>
    <t>ПГНД ул.Театральная 20/36 г.Белая Калитва инв № 4-030063</t>
  </si>
  <si>
    <t>гараж п.Атаева г.Белая Калитва</t>
  </si>
  <si>
    <t>Г-ввод ул.2 Поселковый,1В,г.Ростов-на-Дону к НГНД диам.57мм г.Ростов-на-Дону, аренда</t>
  </si>
  <si>
    <t>Г-ввод ул.Доватора, кад.№61:44:0070502:19,г.Ростов-на-Дону г.ГНД по ул.Доватора, г.Ростов-,аренда</t>
  </si>
  <si>
    <t>Г-ввод ул.Полторацкого,96а,г.Ростов-на-Дону г.ГНД ул.Полторацкого,96а,г.Ростов-на-Дону,аренда</t>
  </si>
  <si>
    <t>Г-ввод пер.Расковой,20,г.Ростов-на-Дону к ГНД по пер.Расковой, аренда</t>
  </si>
  <si>
    <t>Г-ввод ул.Комсомольская,88/5А, г.Ростов-на-Дону к ГСД по ул. 45-яЛиния, аренда</t>
  </si>
  <si>
    <t>Г-ввод ул.Левобережная,6 г.Ростов-на-Дону к ГСД по ул.Левобережная,г.ростов-на-Дону,аренда</t>
  </si>
  <si>
    <t>Г-ввод ул.Гранитная,20,х.Камышеваха к ГНД по ул.Гранит,х.Камышев,Аксайский р-н,аренда</t>
  </si>
  <si>
    <t>Г-ввод пер.Долевой,2г,г.Ростов-на-Дону к ГНД по пер.Долевой,г.Ростов-на-Дону,аренда</t>
  </si>
  <si>
    <t>Г-ввод ул.Лермонтовская,111,г.Ростов-на-Дону к РГСД пер.Газетный,Ростов-на-Дону, аренда</t>
  </si>
  <si>
    <t>Г-ввод ул.Текучева,174/99,г.Ростов-на-Дону к РГНД ул.Текучева,г.Ростов-на-Дону,аренда</t>
  </si>
  <si>
    <t>Г-ввод ул.Кржижановского,245 к РГНД ул.Кржижановского,г.Ростов-на-Дону,аренда</t>
  </si>
  <si>
    <t>Г-ввод ул.Мечникова,130,г.Ростов-на-Дону к ПГНД ул.Дранко,Ростов-на-Дону, аренда</t>
  </si>
  <si>
    <t>Г-ввод пр-кт 40-летия Победы,73/18г.Ростов-на-Дону к РГНД по пр-кт 40-лет Поб,Ростов-на-Дону, аренда</t>
  </si>
  <si>
    <t>Г-ввод ул.Финишная,3,г.Ростов-на-Дону г.ПГНД ул.Финишная,г.Ростов-на-Дону,аренда</t>
  </si>
  <si>
    <t>Г-ввод х.Камышеваха,поле 42б,Аксайский район к.н.61:02:0600010:11319 к ГНД х. Камышеваха,аре аренда</t>
  </si>
  <si>
    <t>Г-ввод ул.Чкалова,24,г.Ростов-на-Дону к ПГНД по ул. Чкалова, аренда</t>
  </si>
  <si>
    <t>Г-ввод пл.Рыбака,1,г.Ростов-на-Дону к ГНД по пл. Рыбака, аренда</t>
  </si>
  <si>
    <t>Г-ввод ул.Мечникова,75,г.Ростов-на-Дону к ПГНД ул.Мечникова,Ростов-на-Дону, аренда</t>
  </si>
  <si>
    <t>Г-ввод пр.Кировский,98,г.Ростов-на-Дону к ГСД по пр. Кировский,г.Ростов-на-Дону,аренда</t>
  </si>
  <si>
    <t>Г-ввод ул.Рыцарская,116,г.Ростов-на-Дону к ПГНД по ул.Рыцарская, стор</t>
  </si>
  <si>
    <t>Г-ввод ул.Ц.Кунникова,9/29,г.Ростов-на-Дону к РГНД по ул.Ц.Кунникова, аренда</t>
  </si>
  <si>
    <t>Г-ввод пер.Тувинский,49г,г.Ростов-на-Дону к ГНД по пер.Дзержинского, аренда</t>
  </si>
  <si>
    <t>Г-ввод ул.Стрелковая,34,г.Ростов-на-Дону к ГСД по ул.Стрелковая,г.Ростов-на-Дону,аренда</t>
  </si>
  <si>
    <t>Г-ввод ул.Инициативная,12, г.Ростов-на-Дону к ПГНД по ул.Инициативная, аренда</t>
  </si>
  <si>
    <t>Г-ввод пер.1-й Кольский,8а,г.Ростов-на-Дону к ПГНД по ул.1-й Кольский,г.Ростов-на-Дону,аренда</t>
  </si>
  <si>
    <t>Г-ввод ул.Солидарности,90/30,г.Ростов-на-Дону к ГНД по ул. Солидарности,аренда</t>
  </si>
  <si>
    <t>Г-ввод ул.Ст.Советов,9б, г.Ростов-на-Дону к ГСД по ул. Страны Советов, аренда</t>
  </si>
  <si>
    <t xml:space="preserve">Г-ввод ул.Ю-Восточная Промзона,уч.17,заявитель Акимова,г.Ростов-на-Дону,аренда </t>
  </si>
  <si>
    <t>Г-ввод ул.3-я Кольцевая,9а, г.Ростов-на-Дону к ПГНД по ул. 3-я Кольцевая, аренда</t>
  </si>
  <si>
    <t>Г-ввод ул.Калиновская,15, г.Ростов-на-Дону к ПГНД ул.Калиновская, г.Ростов-на-Дону, аренда</t>
  </si>
  <si>
    <t>Г-ввод ул.Ченцова,40, г.Ростов-на-Дону к ПГСД ул.Ченцова,г.Ростов-на-Дону, аренда</t>
  </si>
  <si>
    <t>Г-ввод пер.Строевой,40а, г.Ростов-на-Дону, к ГНД СНТ Авангард-3, г.Ростов-на-Дону, стор.</t>
  </si>
  <si>
    <t>Г-ввод ул.Зерноградская,37,г.Рстов-на-Дону, к ГНД ул.Зерноградская, г.Ростов-на-Дону, стор.</t>
  </si>
  <si>
    <t>Г-ввод СНТ Инициативный,298, г.Ростов-на-Дону, к ГНД СНТ Инициативный, г.Ростов-на-Дону, стор</t>
  </si>
  <si>
    <t>Г-ввод пер.3-й Лазоревый,19а,г.Ростов-на-Дону к ПГНД пер.3-й Лазоревый,г.Ростов-на-Дону,стор.</t>
  </si>
  <si>
    <t>Г-ввод ул.1-я Союзная,37, г.Ростов-на-Дону, стор.</t>
  </si>
  <si>
    <t>Г-ввод ул.2-я Арсенальная,22/40,г.Ростов-на-Дону, к ГНД ер с/т Авангард-3, г.Ростов-на-Дону, стор.</t>
  </si>
  <si>
    <t>Г-ввод пер.Ярошенко,13, к ПГНД по пер.Ярошенко,г.Ростов-на-Дону, аренда</t>
  </si>
  <si>
    <t>Г-ввод ул.45-я Линия,20, г.Ростов-на-Дону, к ГСД ул.45-я Линия, г.Ростов-на-Дону, аренда</t>
  </si>
  <si>
    <t>Г-ввод ул.Книжная,111,г.Ростов-на-Дону к ГНД ул.Книжная,г.Ростов-на-Дону, аренда</t>
  </si>
  <si>
    <t>Г-ввод пр.Стачки,257А, г.Ростов-на-Дону к ПГСД пр.Стачки, г.Ростов-на-Дону,аренда</t>
  </si>
  <si>
    <t>Г-ввод пр.Стачки,124,г.Ростов-на-Дону к ПГНД ул.4-я Кольцевая,г.Ростов-на-Дону,аренда</t>
  </si>
  <si>
    <t>Г-ввод ул.Мадояна,45А/25,г.Ростов-на-Дону к ГНД ул.Мадояна,г.Ростов-на-Дону,аренда</t>
  </si>
  <si>
    <t>Г-ввод ул.Катаева,289,г.Ростов-на-Дону к ПГНД ул.Катаева,г.Ростов-на-Дону,аренда</t>
  </si>
  <si>
    <t>Г-ввод ул.Доватора, ком.зона р-на Левенцовка, к ПГСД ул.Доватора,г.Ростов-на-Дону,аренда</t>
  </si>
  <si>
    <t>Г-ввод ул.Димитрова,63,г.Ростов-на-Дону к ПГСД ул.Димитрова,г.Ростов-на-Дону,аренда</t>
  </si>
  <si>
    <t>Г-ввод пер.Несветайский,6А,г.Ростов-на-Дону, к ГНД ул.Зявкина,г.Ростов-на-Дону,аренда</t>
  </si>
  <si>
    <t>Г-вод пер.1-й Атмосферный,5,г.Ростов-на-Дону к ПГНд ул.Космическая,г.Ростов-на-Дону,аренда</t>
  </si>
  <si>
    <t>Г-ввод ул.21-я линия,29, г.Ростов-на-Дону, к ГНД ул. 21-я Линия,г.Ростов-на-Дону,аренда</t>
  </si>
  <si>
    <t>Г-ввод ул.Павлодарская,8, г.Ростов-на-Дону, к ГНД ул.Павлодарская,г.Ростов-на-Дону,аренда</t>
  </si>
  <si>
    <t>Г-ввод пер.Орджоникидзе,1б, г.Ростов-на-Дону,к ПГНД пер.Орджоникидзе,г.Ростов-на-Дону,аренда</t>
  </si>
  <si>
    <t>Г-ввод пер.Семашко,21А/58Б,г.Ростов-на-Дону, к ПГНД ул.Темерницкая,г.Ростов-на-Дону,аренда</t>
  </si>
  <si>
    <t>Г-ввод пер.Дунаевского,10, г.Ростов-на-Дону к ПГНД пер.Дунаевского,г.Ростов-на-Дону,аренда</t>
  </si>
  <si>
    <t>Г-ввод пер.1-й Берестяной,уч.141, ДНТ Утро, г.Ростов-на-Дону, ГНД ДНТ Утро, г.Ростов-на-Дону,стор</t>
  </si>
  <si>
    <t>Г-ввод ул.Механизаторов,13,г.Ростов-на-Дону, к ГСД ул.Механизаторов,г.Ростов-на-Дону,аренда</t>
  </si>
  <si>
    <t>Г-ввод ДНТ Исток,276, г.Ростов-на-Дону,стор.</t>
  </si>
  <si>
    <t>Г-ввод СНТ Инициативный,122, КН 61:44:0030606:657, г.Ростов-на-Дону,стор.</t>
  </si>
  <si>
    <t>Г-ввод ул.Белорусская,159,г.Ростов-на-Дону,стор.</t>
  </si>
  <si>
    <t>Г-ввод пер.2-й переулок,115, г.Ростов-на-Дону, к ГНД пер. 2-й, г.Ростов-на-Дону,аренда</t>
  </si>
  <si>
    <t>Г-ввод ул.Магнитогорская,4а,г.Ростов-на-Дону,стор.</t>
  </si>
  <si>
    <t>Г-ввод пер.Лазоревый,3, ст. Урожай,уч-к 10-03, г.Ростов-на-Дону, стор.</t>
  </si>
  <si>
    <t>Г-ввод ул.Нансена,255/1, г.Ростов-на-Дону,к ПГНД пер.Казахстанскому,г.Ростов-на-Дону,аренда</t>
  </si>
  <si>
    <t>Г-ввод ул.Вавилова,68, г.Ростов-на-Дону,к ГСД ул.Днепроградская,г.Ростов-на-Дону,аренда</t>
  </si>
  <si>
    <t>Г-ввод снт Женьшень,41, ул.Женьшеневая,26а, г.Ростов-на-Дону,стор.</t>
  </si>
  <si>
    <t>Г-ввод снт Женьшень,41, ул.Женьшеневая,26б, г.Ростов-на-Дону,стор.</t>
  </si>
  <si>
    <t>Г-ввод ул.2-я Авиапромовская,9, г.Ростов-на-Дону, стор.</t>
  </si>
  <si>
    <t>Г-ввод ул.30-летия Октября, 91В, г.Ростов-на-Дону, стор.</t>
  </si>
  <si>
    <t>Г-ввод ул.Совхозная,32А,котельная,г.Ростов-на-Дону</t>
  </si>
  <si>
    <t>11.09.2018</t>
  </si>
  <si>
    <t>Г-ввод ул.Орбитальная,3е,г.Ростов-на-Дону, стор.</t>
  </si>
  <si>
    <t>Г-ввод пр.Стачки,114,г.Ростов-на-Дону,стор.</t>
  </si>
  <si>
    <t>Г-ввод ул.Линейная,110,г.Ростов-на-Дону,стор.</t>
  </si>
  <si>
    <t>Г-ввод ул.Подтелкова,15,г.Ростов-на-Дону,стор.</t>
  </si>
  <si>
    <t>Г-ввод пер.3-й Бронзовый,4, г.Ростов-на-Дону,стор.</t>
  </si>
  <si>
    <t>Г-ввод пер.Саперный,28,г.Ростов-на-Дону,стор.</t>
  </si>
  <si>
    <t>Г-ввод пер.Беломорский,98,г.Ростов-на-Дону,стор.</t>
  </si>
  <si>
    <t>Г-ввод ул.Тимошенко,7, г.Ростов-на-Дону,стор.</t>
  </si>
  <si>
    <t>Г-ввод ул.Портовая,63,г.Ростов-на-Дону,стор.</t>
  </si>
  <si>
    <t>Г-ввод пер.Фруктовый,10/36,г.Ростов-на-Дону,к ПГНД ул.Калитвенская,2-й Пятилетки,Ростов-на-Дону,арен</t>
  </si>
  <si>
    <t>Г-ввод ул.7-я Турнирная,39,г.Ростов-на-Дону,стор.</t>
  </si>
  <si>
    <t>Г-ввод пр.Стачки,318,г.Ростов-на-Дону, к ПГСД пр.Стачки,г,Ростов-на-Дону,аренда</t>
  </si>
  <si>
    <t>Г-ввод ул.Еременко,56д,г.Ростов-на-Дону, к ПГСД ул.Доватора,г.Ростов-на-Дону,аренда</t>
  </si>
  <si>
    <t>Г-ввод СНТ Мечта,уч 9а,г.Ростов-на-Дону,стор.</t>
  </si>
  <si>
    <t>Г-ввод пер.Соборный,24,г.Ростов-на-Дону,стор.</t>
  </si>
  <si>
    <t>Г-ввод ул.37 линия,95, нежилое здание, Олейников Р.В. к ГСД по ул.Богданова,Ростов-на-Дону, аренда</t>
  </si>
  <si>
    <t>Г-ввод ул.Спелая,4а,ДНТ Садовод-Любитель,г.Ростов-на-Дону, стор.</t>
  </si>
  <si>
    <t>Г-ввод ул.2-я Романтическая,69/10,СНТ Донпоходг.Ростов-на-Дону, стор.</t>
  </si>
  <si>
    <t>Г-ввод ул.Совхозная,39Г,п.Водопадный,АСксайский р, стор.</t>
  </si>
  <si>
    <t>Г-ввод ул.Тибетская,53а,г.Ростов-на-Дону,к ПГНД, ул. Зерноградская,аренда</t>
  </si>
  <si>
    <t>Г-ввод пер.Денисова,42А, г.Ростов-на-Дону,стор.</t>
  </si>
  <si>
    <t>Г-ввод пр.Удачный,8, п. Темерницкий,Аксайский р, стор.</t>
  </si>
  <si>
    <t>Г-ввод СНТ Урожай, уч-к 2-42 к.н. 61:44:0082612:136,г.Ростов-на-Дону,стор.</t>
  </si>
  <si>
    <t>Г-ввод ул.Вятская, к.н. 61:44:0021613:10,г.Ростов-на-Дону,стор.</t>
  </si>
  <si>
    <t>Г-ввод СНТ Братство,669, г.Ростов-на-Дону,стор.</t>
  </si>
  <si>
    <t>Г-ввод пр-зд 1-й Тверской,73,п.Темерницкий,Аксайский р-н,стор.</t>
  </si>
  <si>
    <t>Г-ввод ул.Кристальная,14, к.н. 61:02:0600010:11496,х.Камышеваха,Аксайский р-н,стор.</t>
  </si>
  <si>
    <t>Г-ввод ул.Курортная,41а,г.Ростов-на-Дону,к ПГНД ул.Горбачева,г.Ростов-на-Дону,аренда</t>
  </si>
  <si>
    <t>Г-ввод ул.Левобережная,2, СНТ Задонье, уч-к 157/3, ст.Ольгинская,Аксайский р-н,стор.</t>
  </si>
  <si>
    <t>Г-ввод ДНТ Победа,97,г.Ростов-на-Дону,стор.</t>
  </si>
  <si>
    <t>Г-ввод ул.Доватора,71б,г.Ростов-на-Дону,стор.</t>
  </si>
  <si>
    <t>Г-ввод пер.5-й Поселковый,18,г.Ростов-на-Дону,ПГНД пер.Аэроклуб.г.Ростов-на-Дону,аренда</t>
  </si>
  <si>
    <t>Г-ввод пер.Джамбульский,1/52,г.Ростов-на-дону РГСД пер.Джамбуль,г.Ростов-на-Дону,аренда</t>
  </si>
  <si>
    <t>Г-ввод ул.2-я Спасская,14,г.Ростов-на-Дону,стор.</t>
  </si>
  <si>
    <t>Г-ввод СТ Факел-2, уч-к 35,г.Ростов-на-Дону,стор.</t>
  </si>
  <si>
    <t>Г-ввод пр.Маршала Жукова,35/8, к.н. 61:44:000000:0996, г.Ростов-на-Дону,ПГСД ул.Доватора,аренда</t>
  </si>
  <si>
    <t>Г-ввод ул.Космическая,17,г.Ростов-на-Дону,стор.</t>
  </si>
  <si>
    <t>Г-ввод пр-зд Тихий,5,п.Темерницкий,Аксайскийр-н, стор.</t>
  </si>
  <si>
    <t>Г-ввод ул.Курортная,119/54,г.Ростов-на-Дону,стор.</t>
  </si>
  <si>
    <t>Г-ввод ул.Курортная,97/1,г.Ростов-на-Дону,стор.</t>
  </si>
  <si>
    <t>Г-ввод р-н комплекса Ростовской таможни.вдоль п.Водопадный,Аксайский р-н,аренда</t>
  </si>
  <si>
    <t>Г-ввод пр.40 летия Победы,320/2, г.Ростов-на-Дону,НГНД пр.40-летия Победы,аренад</t>
  </si>
  <si>
    <t>Г-ввод ул.Миронова,2Е,г.Ростов-на-Дону,ГНД ул.Лелюшенко,г.Ростов-на-Дону,аренда</t>
  </si>
  <si>
    <t>Г-ввод ул.Литовская,40,38,г.Ростов-на-Дону,стор.</t>
  </si>
  <si>
    <t>Г-ввод ул.Милая,37, г.Ростов-на-Дону,стор.</t>
  </si>
  <si>
    <t>Г-ввод ул.4-я Городецкая,12/4,СТ Защитник,г.Ростов-на-Дону,стор.</t>
  </si>
  <si>
    <t>Г-ввод пр-зд Видный,21/9, п.Темерницкий,Аксайский р-н.стор.</t>
  </si>
  <si>
    <t>Г-ввод СНТ Урожай, к.н. 61:44:0082612:1724, г.Ростов-на-Дону,стор.</t>
  </si>
  <si>
    <t>Г-ввод ул.4-я Процветания,8а, СНТ Урожай,г.Ростов-на-Дону,стор.</t>
  </si>
  <si>
    <t>Г-ввод с/т Защитник,25/32, г.Ростов-на-Дону, стор.</t>
  </si>
  <si>
    <t>Г-ввод ул.2-я Осевая,18, г.Ростов-на-Дону,стор.</t>
  </si>
  <si>
    <t>Г-ввод ул.Гипсовая,24,г.Ростов-на-Дону, стор.</t>
  </si>
  <si>
    <t>Г-ввод ул.2-я Процветания,14/8,г.Ростов-на-Дону,стор.</t>
  </si>
  <si>
    <t>Г-ввод ул.Мопра,42,г.Ростов-на-Дону, ПГСД пр.Стачки,114,г.Ростов-на-Дону,аренда</t>
  </si>
  <si>
    <t>Г-ввод ул.Литвинова,30, г.Ростов-на-Дону,к ПГСД ул.Литвинова,г.Ростов-на-Дону,аренда</t>
  </si>
  <si>
    <t>Г-ввод ул.Горчакова,20,г.Аксай,стор.</t>
  </si>
  <si>
    <t>Г-ввод ул.Горчакова,22,г.Аксай,стор.</t>
  </si>
  <si>
    <t>Г-ввод ул.Череповецкая,42,г.Ростов-на-Дону,стор.</t>
  </si>
  <si>
    <t>Г-ввод ул.15-я Линия,8,г.Ростов-на-Дону,к ПГНД ул.15-я Линия,г.Ростов-на-Дону,аренда</t>
  </si>
  <si>
    <t>Г-ввод ул.1-я Огуречная,27, г.Ростов-на-Дону,стор.</t>
  </si>
  <si>
    <t>Г-ввод ул.Лелюшенко,16, г.Ростов-на-Дону,стор.</t>
  </si>
  <si>
    <t>Г-ввод пер.2-й Лазоревый,30, СНТ Урожай,г.Ростов-на-Дону,стор.</t>
  </si>
  <si>
    <t>Г-ввод х.Камышеваха,к.н. 61:02:0010401:716, Аксайский р-н, к ПГСД пр.Изумрудный,х.Камышеваха,Аксайский р-н,аренда</t>
  </si>
  <si>
    <t>Г-ввод ул.Золотистая,128/1, СНТ Виноградарь,г.Ростов-на-Дону,стор.</t>
  </si>
  <si>
    <t>Г-ввод ул.Татарская,89,г.Ростов-на-Дону, к ПГНД ул.Татарская,г.Ростов-на-Дону,аренда</t>
  </si>
  <si>
    <t>Г-ввод ул.Шарон,7,х.Камышеваха,Аксайский р-н,стор.</t>
  </si>
  <si>
    <t>Г-ввод ул.Шарон,9,х.Камышеваха,Аксайский р-н,стор.</t>
  </si>
  <si>
    <t>Г-ввод ул.Шарон,11,х.Камышеваха,Аксайский р-н,стор.</t>
  </si>
  <si>
    <t>Г-ввод ул.Петровская,3,г.Ростов-на-Дону,к РГСД ул.Чехова,г.Ростов-на-Дону,аренда</t>
  </si>
  <si>
    <t>Г-ввод ул.Латуневая,7, х.Камышеваха,Аксайский р-н, стор.</t>
  </si>
  <si>
    <t>Г-ввод ул.Родниковая,4д,г.Ростов-на-Дону,стор.</t>
  </si>
  <si>
    <t>Г-ввод СНТ Яблочко,уч.66, к ГНД на тер.СНТ Яблочко, Аксайский р-н, стор.</t>
  </si>
  <si>
    <t>Г-ввод ул.4-я Линия,43, СНТ Донподход, г.Ростов-на-Дону,стор.</t>
  </si>
  <si>
    <t>Г-ввод пер.1-й Тверской,9, п. Темерницкий,Аксайский район,стор.</t>
  </si>
  <si>
    <t>Г-ввод СНТ Защитник,15/36,г.Ростов-на-Дону,стор.</t>
  </si>
  <si>
    <t>Г-ввод ул.Добрососедская,35, ДНТ Исток, уч 185, г.Ростов-на-Дону,стор.</t>
  </si>
  <si>
    <t>Г-ввод ДНТ Исток, уч 174, г.Ростов-на-Дону,стор.</t>
  </si>
  <si>
    <t>Г-ввод СНТ Защитник,6/1,г.Ростов-на-Дону,стор.</t>
  </si>
  <si>
    <t>Г-ввод СНТ Алмаз,64,г.Ростов-на-Дону,стор.</t>
  </si>
  <si>
    <t>Г-ввод ул.Прокофьева,8,г.Ростов-на-Дону,стор.</t>
  </si>
  <si>
    <t>Г-ввод ул.Суворова,13, г.Ростов-на-Дону стор</t>
  </si>
  <si>
    <t>Г-ввод ул.Жданова,14, г. Ростов-на-Дону, стор.</t>
  </si>
  <si>
    <t>Г-ввод ул.39-я Линия,77,г.Ростов-на-Дону,аренда</t>
  </si>
  <si>
    <t>Г-ввод ул.Тельмана,145,кв 2,г.Ростов-на-Дону, стор.</t>
  </si>
  <si>
    <t>Г-ввод ул.Красноармейская,157/124, ,г.Ростов-на-Дону,стор.</t>
  </si>
  <si>
    <t>Г-ввод ул.2-я Луговая,27,г.Ростов-на-Дону,стор.</t>
  </si>
  <si>
    <t>Г-ввод ул.Шоссейная,2а,г.Ростов-на-Дону,стор.</t>
  </si>
  <si>
    <t>Г-ввод ул.Рябышева,119,г.Ростов-на-Дону,стор.</t>
  </si>
  <si>
    <t>Г-ввод пер.1-й Черкасский,10, СНТ Алмаз, к.н. 61:44:0030609:39, г.Ростов-на-Дону,стор.</t>
  </si>
  <si>
    <t>Г-ввод ул.Кеплера,7А.п.Верхнетемерницкий,Аксайский р-н,стор.</t>
  </si>
  <si>
    <t>Г-ввод пер.4-й Лазоревый,34/13,СНТ Урожай,г.Ростов-на-Дону,стор.</t>
  </si>
  <si>
    <t>Г-ввод ул.Волжская,165а/79,г.Ростов-на-Дону, к ПГНД ул.Можайская,г.Ростов-на-Дону,аренда</t>
  </si>
  <si>
    <t>Г-ввод ул.Федоровская,8,п.Темерницкий,Аксайский р-н,стор.</t>
  </si>
  <si>
    <t>Г-ввод пер.Парусный,43а,г.Ростов-на-Дону,к НГНД пер.Кущевский,24в,г.Ростов-на-Дону,аренда</t>
  </si>
  <si>
    <t>Г-ввод ул.Литейная,3,х.Камышеваха,Аксайский р-н,стор.</t>
  </si>
  <si>
    <t>Г-ввод СНТ Защитник,4/17, г.Ростов-на-Дону,стор.</t>
  </si>
  <si>
    <t>Г-ввод ул.Федоровская,33,п.Темерницкий,Аксайский р-н,стор.</t>
  </si>
  <si>
    <t>Г-ввод ул.Риволи,2,х.Камышеваха,Аксайский р-н,стор.</t>
  </si>
  <si>
    <t>Г-ввод пр.Ленина,158,г.Ростов-на-Дону,к РГНД пр.Ленина,г.Ростов-на-Дону,аренда</t>
  </si>
  <si>
    <t>Г-ввод пер.4-й Лазоревый,11,СНТ Урожай,г.Ростов-на-Дону,стор.</t>
  </si>
  <si>
    <t>Г-ввод пр-зд 1-й Тверской,58,п.Темерницкий,Аксайский р-н.стор.</t>
  </si>
  <si>
    <t>Г-ввод ул.Ажурная,47,СНТ Союз,306,г.Ростов-на-Дону,стор.</t>
  </si>
  <si>
    <t>Г-ввод пер.4-й Аграрный,21, СНТ Ростсельмашевец, 12-300, г.Ростов-на-Дону,стор.</t>
  </si>
  <si>
    <t>Г-ввод ул.Строительная,33А,п.Темерницкий,Аксайский р-н,стор.</t>
  </si>
  <si>
    <t>Г-ввод пр-езд Видный,16/14,п.Темерницкий,Аксайский р-н,стор.</t>
  </si>
  <si>
    <t>Г-ввод СНТ Урожай,7-04,к.н. 61:44:0082612:111,г.Ростов-на-Дону,стор.</t>
  </si>
  <si>
    <t>Г-ввод пер.9-й Лазоревый,47, СНТ Урожай,г.Ростов-на-Дону,стор.</t>
  </si>
  <si>
    <t>Г-ввод ул.3-я Турнирная,46/9,СНТ Братство,242,г.Ростов-на-Дону,стор.</t>
  </si>
  <si>
    <t>Г-ввод ул.Риволи,18,х.Камышеваха,Аксайский р-н,стор.</t>
  </si>
  <si>
    <t>Г-ввод СНТ Союз,200,г.Ростов-на-Дону,стор.</t>
  </si>
  <si>
    <t>Г-ввод СНТ Аэро,248,г.Ростов-на-Дону,стор.</t>
  </si>
  <si>
    <t>Г-ввод пер.Лебяжий,4,г.Ростов-на-Дону,стор.</t>
  </si>
  <si>
    <t>Г-ввод пер.7-й Лазоревый,38б,СНТ Урожай,г.Ростов-на-Дону,стор.</t>
  </si>
  <si>
    <t>Г-ввод СНТ Донподход,к.н.61:44:44:0070704:1315, г.Ростов-на-Дону,стор.</t>
  </si>
  <si>
    <t>Г-ввод ул.Жавель,28а,х.Камышеваха,Аксайский р-н.стор.</t>
  </si>
  <si>
    <t>Г-ввод ул.Портовая,335,г.Ростов-на-Дону,стор.</t>
  </si>
  <si>
    <t>Г-ввод СНТ Урожай,1-35, к.н.61:44:0082612:782,г.Ростов-на-Дону,стор.</t>
  </si>
  <si>
    <t>Г-ввод ул.Платиновая,13,х.Камышеваха,к ПГСД ул.Платиновая,Аксайский р-н,аренда</t>
  </si>
  <si>
    <t>Г-ввод пер.2-й Поклонный,42 снт Аэро 42, г.Ростов-на-Дону, стор.</t>
  </si>
  <si>
    <t>Г-ввод НСТ Авангард-2,к.н. 61:44:0051108:215, г.Ростов-на-Дону, кПГНД СНТ Авангард-2, г.Ростов-на-Дону, стор.</t>
  </si>
  <si>
    <t>Г-ввод СТ Лесополоса,133,г.Ростов-на-Дону,стор.</t>
  </si>
  <si>
    <t>Г-ввод СНТ Защитник ,14/2, г.Ростов-на-Дону,стор.</t>
  </si>
  <si>
    <t>Г-ввод пр-зд Елизаветинский,5,п.Темерницкий,Аксайский р-, стор.</t>
  </si>
  <si>
    <t>Г-ввод ул.Версальская,20, х. Камышеваха, Аксайский район, стор</t>
  </si>
  <si>
    <t>Г-ввод пер.4-й Экипажный,3/21,СНТ Аэро,г.Ростов-на-Дону,стор.</t>
  </si>
  <si>
    <t>Г-ввод пер.Краснофлотский,12,г.Ростов-на-Дону,стор.</t>
  </si>
  <si>
    <t>Г-ввод ул.Кржижановского,252,г.Ростов-на-Дону,стор.</t>
  </si>
  <si>
    <t>Г-ввод пр.Шолохова,29а,г.Ростов-на-Дону,аренда</t>
  </si>
  <si>
    <t>Г-ввод СНТ Алмаз,5,г.Ростов-на-Дону,стор.</t>
  </si>
  <si>
    <t>Г-ввод ул.2-я линия,24,ДНТ Гамма-Труд, г.Ростов-на-Дону, стор.</t>
  </si>
  <si>
    <t>Г-ввод пр-д Михайловский,11, п.Темерницкий Аксайский р-н, стор.</t>
  </si>
  <si>
    <t>Г-ввод ул.7-я Линия,23,ДНТ Гамма-Труд г.Ростов-на-Дону, стор.</t>
  </si>
  <si>
    <t>Г-ввод ул.Пушкинская,12/88, г.Ростов-на-Дону, к ГСД пер. Халтуринский,г.Ростов-на-Дону,аренда</t>
  </si>
  <si>
    <t>Г-ввод пр.40-летия Победы, к.н. 61:44:0030913:2,г.Ростов-на-Дону, аренда</t>
  </si>
  <si>
    <t>Г-ввод пер.Медведицкий,6А, г. Ростов-на-Дону, стор</t>
  </si>
  <si>
    <t>Г-ввод ул.Геологическая,1, г. Ростов-на-Дону, аренда</t>
  </si>
  <si>
    <t>Г-ввод ул.Линейная,61/65, г. Ростов-на-Дону, аренда</t>
  </si>
  <si>
    <t>Г-ввод ул.Ярошенко,6, г. Ростов-на-Дону, аренда</t>
  </si>
  <si>
    <t>Г-ввод пр.Королева,1-п, г. Ростов-на-Дону, аренда</t>
  </si>
  <si>
    <t>Г-ввод ул.Орбитальная,149, г. Ростов-на-Дону, стор</t>
  </si>
  <si>
    <t>Г-ввод ул.Кулагина,62/45Б, г. Ростов-на-Дону, аренда</t>
  </si>
  <si>
    <t>Г-ввод пер.3-й Поселковый,27/216 бч, г.Ростов-на-Дону,аренда</t>
  </si>
  <si>
    <t>Г-ввод ул.27-я Линия, 55, г. Ростов-на-Дону, аренда</t>
  </si>
  <si>
    <t>Г-ввод пер.Звездный,10, п. Верхнетемерницкий, Аксайский р стор</t>
  </si>
  <si>
    <t>Г-ввод ул.Терская, 20, (61:44:0031931:124) г. Ростов-на-Дону, аренда</t>
  </si>
  <si>
    <t>Г-ввод СНТ Восход УВД,114,  г. Ростов-на-Дону стор</t>
  </si>
  <si>
    <t>Г-ввод Юго-Восточная промзона,1/5, Мясниковский  г. Ростов-на-Дону аренда</t>
  </si>
  <si>
    <t>Г-ввод пер.7-й Самобытный,4а,  г. Ростов-на-Дону стор</t>
  </si>
  <si>
    <t>Г-ввод ул.Ермолова,16  г. Аксай стор</t>
  </si>
  <si>
    <t>Г-ввод СНТ Инициативный,252, к/н 61:44:0030606:195  г. Ростов-на-Дону стор</t>
  </si>
  <si>
    <t>Г-ввод ДНТ Утро 208,пер. 2-й Берестяной, 64  г. Ростов-на-Дону стор</t>
  </si>
  <si>
    <t>Г-ввод ДНТ Утро 93,  г. Ростов-на-Дону стор</t>
  </si>
  <si>
    <t>Г-ввод ДНТ Утро 58,  пер. 5-й Кустарный,62, г. Ростов-на-Дону стор</t>
  </si>
  <si>
    <t>Г-ввод пер.52-й Берестяной,31, ДНТ Утро, г. Ростов-на-Дону стор</t>
  </si>
  <si>
    <t>Г-ввод ДНТ Утро 268,  г. Ростов-на-Дону стор</t>
  </si>
  <si>
    <t>Г-ввод пер.4-й Лазоревый,41,СНТ Урожай, к.н.61:44:0082612:1687,г.Ростов-на-Дону,стор.</t>
  </si>
  <si>
    <t>Г-ввод пер.4-й Газонный,16, СНТ Южтехмонтаж-1,г.Ростов-на-Дону,стор.</t>
  </si>
  <si>
    <t>Г-ввод пр-зд Достойный,14,п.Темерницкий,Аксайский р-н,стор.</t>
  </si>
  <si>
    <t>Г-ввод пер.Машиностроительный,7/110,г.Ростов-на-Дону,стор.</t>
  </si>
  <si>
    <t>Г-ввод ул.Ореховая,30а,п.Темерницкий,Аксайский р-н,стор.</t>
  </si>
  <si>
    <t>Г-ввод ул.4-я Престижная,19, ДНТ ГАмма-Труд,г.Ростов-на-Дону, стор.</t>
  </si>
  <si>
    <t>Г-ввод СНТ Орбита,10,г.Ростов-на-Дону,стор.</t>
  </si>
  <si>
    <t>Г-ввод 3-й Газонный,13, г.Ростов-на-Дону, стор.</t>
  </si>
  <si>
    <t>Г-ввод пр-зд Теплый,18,п.Темерницкий,Аксайский р-н,стор.</t>
  </si>
  <si>
    <t>Г-ввод ул.Доватора,141,г.Ростов-на-Дону,стор.</t>
  </si>
  <si>
    <t>Г-ввод ул.Домовитая,4,ДНТ Исток,125,г.Ростов-на-Дону,стор.</t>
  </si>
  <si>
    <t>Г-ввод пер.Камышовый,12,СНТ Курортник,г.Ростов-на-Дону.стор.</t>
  </si>
  <si>
    <t>Г-ввод ул.Каштановая,133а,г.Ростов-на-Дону,стор.</t>
  </si>
  <si>
    <t>Г-ввод ул.6-я Улица,40,СНТ Донподход,г.Ростов-на-Дону,стор.</t>
  </si>
  <si>
    <t>Г-ввод ул.2-я Литературная,12,г.Ростов-на-Дону,стор.</t>
  </si>
  <si>
    <t>Г-ввод СНТ Защитник,6/15,г.Ростов-на-Дону,стор.</t>
  </si>
  <si>
    <t>Г-ввод пер.4-й Лазоревый,25,СНТ Урожай,г.Ростов-на-Дону,стор.</t>
  </si>
  <si>
    <t>Г-ввод пер.4-й Лазоревый,25а,СНТ Урожай,г.Ростов-на-Дону,стор.</t>
  </si>
  <si>
    <t>Г-ввод ул.Левобережная,4, уч-к 1254а,  с/т Донское,ст.Ольгинская,Аксайский р-н ,стор.</t>
  </si>
  <si>
    <t>Г-ввод пр.1-й Тверской,65,п.Темерницкий,к ПГНД по пр.1-й Тверской,п.Темерницкий,Аксайский р-н,стор.</t>
  </si>
  <si>
    <t>Г-ввод ул.Праздничная,20А,СНТ Донподход,г,Ростов-на-Дону, стор.</t>
  </si>
  <si>
    <t>Г-ввод ул.Екатерининская,56,п.Темерницкий,Аксайский р-н,стор.</t>
  </si>
  <si>
    <t>Г-ввод ул.Рассветная,10/41,г.Ростов-на-Дону,стор.</t>
  </si>
  <si>
    <t>Г-ввод ул.Российская,пер.Центральный, уч.62/5,х.Ленинакан,Мясниковский р-н,стор.</t>
  </si>
  <si>
    <t>Г-ввод ул.Семейная,уч-к 11, х.Ленинакан,Мясниковский р-н, стор.</t>
  </si>
  <si>
    <t>Г-ввод ул.Республиканская,53, г.Ростов-на-Дону к НГНД ул.Республиканская,аренда</t>
  </si>
  <si>
    <t>Г-ввод пер.Ветренный,47А,г.Ростов-на-Дону,стор.</t>
  </si>
  <si>
    <t>21.08.2018</t>
  </si>
  <si>
    <t>Г-ввод ул.Надежды,52,х.Ленинакан,Мясниковский р-н,стор.</t>
  </si>
  <si>
    <t>27.06.2018</t>
  </si>
  <si>
    <t>Г-ввод пр-зд Тверской,43-45,п.Темерницкий,Аксайский р-н,стор.</t>
  </si>
  <si>
    <t>13.06.2018</t>
  </si>
  <si>
    <t>Г-ввод ул.Пулковская,22,г.Ростов-на-Дону, к ПГНД ул.Пулковская,г.Ростов-на-Дону,аренда</t>
  </si>
  <si>
    <t>15.06.2018</t>
  </si>
  <si>
    <t>Г-ввод ул.Ченцова,10/43,г.Ростов-на-Дону, к РГСД ул.Ченцова,г.Ростов-на-Дону,аренда</t>
  </si>
  <si>
    <t>30.12.2016</t>
  </si>
  <si>
    <t>Г-ввод ул.Литейная,7,х.Камышеваха,Аксайский р-н,стор.</t>
  </si>
  <si>
    <t>14.08.2018</t>
  </si>
  <si>
    <t>Г-ввод СНТ За мир,59,г.Ростов-на-Дону,стор.</t>
  </si>
  <si>
    <t>07.08.2018</t>
  </si>
  <si>
    <t>Г-ввод ул.30 летия Октября,74Б,г.Ростов-на-Дону,стор.</t>
  </si>
  <si>
    <t>08.06.2018</t>
  </si>
  <si>
    <t>Г-ввод ул.Ясная поляна,30/1,п.Водопадный,Аксайский р-н,стор.</t>
  </si>
  <si>
    <t>06.07.2018</t>
  </si>
  <si>
    <t>Г-ввод СНТ Аэро,303,г.Ростов-на-Дону,стор.</t>
  </si>
  <si>
    <t>06.09.2018</t>
  </si>
  <si>
    <t>Г-ввод ул.Российская,88,х.Ленинакан,Мясниковский р-н,стор.</t>
  </si>
  <si>
    <t>Г-ввод ул.Российская,пер.Восточный,34/5, к.н. 61:25:0600401:11958,х.Ленинакан,Мясниковский р-н,стор.</t>
  </si>
  <si>
    <t>17.08.2018</t>
  </si>
  <si>
    <t>Г-ввод пер.3-й Лазоревый,65, г.Ростов-на-Дону к ПГНД по тер. СНТ "Урожай", г. Ростов-на-Дон</t>
  </si>
  <si>
    <t>07.09.2018</t>
  </si>
  <si>
    <t>Г-ввод СНТ Задонье,297/3,Аксайский р-н,стор.</t>
  </si>
  <si>
    <t>02.11.2018</t>
  </si>
  <si>
    <t>Г-ввод ул.6-я Престижная,14, ДНТ Гамма-Труд,г.Ростов-на-Дону,стор.</t>
  </si>
  <si>
    <t>24.08.2018</t>
  </si>
  <si>
    <t>Г-ввод СНТ Урожай,2-81, к.н. 61:44:0082612:1012,г.Ростов-на-Дону,стор.</t>
  </si>
  <si>
    <t>10.09.2018</t>
  </si>
  <si>
    <t>Г-ввод пер.Лазоревый,28А, к.н. 61:44:0082612:1720, СНТ Урожай, г.Ростов-на-Дону, стор.</t>
  </si>
  <si>
    <t>30.08.2018</t>
  </si>
  <si>
    <t>Г-ввод ул.2-я Осевая,21, г.Ростов-на-Дону,стор.</t>
  </si>
  <si>
    <t>Г-ввод ул.Гераневая,11,г.Ростов-на-Дону к ПГСД ул.Гераневая,г.Ростов-на-Дону,стор.</t>
  </si>
  <si>
    <t>Г-ввод ул.2-я Спасская,28,СНТ Алмаз, г.Ростов-на-Дону,стор.</t>
  </si>
  <si>
    <t>02.07.2018</t>
  </si>
  <si>
    <t>Г-ввод ул.Лазуритовая,34/17,х.Камышеваха к ГСД по ул.Лазуритовой,х.Камышеваха, Аксайский р-н, аренда</t>
  </si>
  <si>
    <t>09.06.2018</t>
  </si>
  <si>
    <t>Г-ввод снт Братство,1108, к.н. 61:44:0080901:2898, г.Ростов-на-Дону,стор.</t>
  </si>
  <si>
    <t>19.06.2018</t>
  </si>
  <si>
    <t>Г-ввод ул.Млечного пути,8, АО.Верхнетемерницкое,Аксайский р-н, стор.</t>
  </si>
  <si>
    <t>Г-ввод пер.Днепродзержинский,42,г.Ростов-на-Дону,к НГНД пер.Днепродзержинский,г.Ростов-на-Дону,аренда</t>
  </si>
  <si>
    <t>25.06.2018</t>
  </si>
  <si>
    <t>Г-ввод ул.Платиновая,2,х.Камышеваха,к ПГСД ул.Платиновая,Аксайский р-н,аренда</t>
  </si>
  <si>
    <t>Г-ввод ул.2-я Осевая,13, СНТ Инициативный,256, к.н. 61:44:0030606:679,г.Ростов-на-Дону,стор.</t>
  </si>
  <si>
    <t>01.08.2018</t>
  </si>
  <si>
    <t>Г-ввод ул.Жавель,22,х.Камышеваха,Аксайский р-н,стор.</t>
  </si>
  <si>
    <t>27.09.2018</t>
  </si>
  <si>
    <t>Г-ввод ул.Половецкая,4Б,г.Ростов-на-Дону,стор.</t>
  </si>
  <si>
    <t>29.03.2018</t>
  </si>
  <si>
    <t>Г-ввод ул.Половецкая,4/2,г.Ростов-на-Дону,стор.</t>
  </si>
  <si>
    <t>Г-ввод пер.Старобельский,27,г.Ростов-на-Дону, к ПГНД пер.Старобельский,г.Ростов-на-Дону,аренда</t>
  </si>
  <si>
    <t>16.08.2018</t>
  </si>
  <si>
    <t>Г-ввод пер.Пронский,42А,г.Ростов-на-Дону, к ПГНД пер.Пронский,г.Ростов-на-Дону,аренда</t>
  </si>
  <si>
    <t>30.07.2018</t>
  </si>
  <si>
    <t>Г-ввод ул.Екатерининская,64,п.Темерницкий,Аксайский р-н,стор.</t>
  </si>
  <si>
    <t>31.01.2018</t>
  </si>
  <si>
    <t xml:space="preserve">Г-ввод ул.Семейная,17,х.Ленинакан,Мясниковский р-н,стор. </t>
  </si>
  <si>
    <t>Г-ввод СНТ Братство,463, г.Ростов-на-Дону,стор.</t>
  </si>
  <si>
    <t>12.07.2018</t>
  </si>
  <si>
    <t>Г-ввод пер.2-й Касательный,15, СНТ Инициативный,г.Ростов-на-Дону,стор.</t>
  </si>
  <si>
    <t>Г-ввод СНТ Братство,1093, к.н. 61:44:0080901:1093, г.Ростов-на-Дону,стор.</t>
  </si>
  <si>
    <t>16.07.2018</t>
  </si>
  <si>
    <t>Г-ввод ул.8-я Процветания,20/79,СНТ Урожай,г.Ростов-на-Дону,стор.</t>
  </si>
  <si>
    <t>23.08.2018</t>
  </si>
  <si>
    <t>Г-ввод ул.3-я Турнирная,296, снт Братство, г.Ростов-на-Дону,стор.</t>
  </si>
  <si>
    <t>26.07.2018</t>
  </si>
  <si>
    <t>Г-ввод ул.3-я Турнирная,253, снт Братство,852, г.Ростов-на-Дону,стор.</t>
  </si>
  <si>
    <t>17.07.2018</t>
  </si>
  <si>
    <t>Г-ввод ул.3-я Турнирная,303А, снт Братство,852, г.Ростов-на-Дону,стор.</t>
  </si>
  <si>
    <t>04.07.2018</t>
  </si>
  <si>
    <t>Г-ввод ул.3-я Турнирная,303, снт Братство,852, г.Ростов-на-Дону,стор.</t>
  </si>
  <si>
    <t>Г-ввод ул.4-я Турнирная,10/1, СНТ Братство,24, г.Ростов-на-Дону,стор.</t>
  </si>
  <si>
    <t>Г-ввод СНТ Братство,1249,г.Ростов-на-Дону,стор.</t>
  </si>
  <si>
    <t>Г-ввод ул.Рыцарская,68А,СНТ Братство,1020,г.Ростов-на-Дону,стор.</t>
  </si>
  <si>
    <t>23.07.2018</t>
  </si>
  <si>
    <t>Г-ввод ул.3-я Турнирная,253А, СНТ Братство, г.Ростов-на-Дону,стор.</t>
  </si>
  <si>
    <t>Г-ввод ул.3-я Турнирная,296 А, СНТ Братство, г.Ростов-на-Дону,стор.</t>
  </si>
  <si>
    <t>26.06.2018</t>
  </si>
  <si>
    <t>Г-ввод ул.3-я Турнирная,232, СНТ Братство,864, г.Ростов-на-Дону,стор.</t>
  </si>
  <si>
    <t>28.06.2018</t>
  </si>
  <si>
    <t>Г-ввод ул.2-я Турнирная,62, СНТ Братство, г.Ростов-на-Дону,стор.</t>
  </si>
  <si>
    <t>Г-ввод ул.Московская,14/25,п.Темерницкий,Аксайский р-н,стор.</t>
  </si>
  <si>
    <t>13.07.2018</t>
  </si>
  <si>
    <t>Г-ввод СНТ Урожай,4-59,г.Ростов-на-Дону, стор.</t>
  </si>
  <si>
    <t>02.10.2018</t>
  </si>
  <si>
    <t>Г-ввод пр-зд Романовский,23,п.Темерницкий,Аксайский р-н,стор.</t>
  </si>
  <si>
    <t>12.09.2018</t>
  </si>
  <si>
    <t>Г-ввод СНТ Урожай,9-71, к.н. 61:44:0082612:1907,г.Ростов-на-Дону,стор.</t>
  </si>
  <si>
    <t>01.10.2018</t>
  </si>
  <si>
    <t>Г-ввод ул.6-я Ненаглядная,20,СНТ Защитник,23/53,г.Ростов-на-Дону,стор.</t>
  </si>
  <si>
    <t>22.08.2018</t>
  </si>
  <si>
    <t>Г-ввод ДНТ Садовод-Любитель,8-113,г.Ростов-на-Дону,стор.</t>
  </si>
  <si>
    <t>19.07.2018</t>
  </si>
  <si>
    <t>ГНД на границе уч-ка ул.Аметистовая,26/52,х.Камышваха,Аксайский р-н,стор.</t>
  </si>
  <si>
    <t>20.09.2018</t>
  </si>
  <si>
    <t>Г-ввод СНТ Защитник,5/11,г.Ростов-на-Дону,стор.</t>
  </si>
  <si>
    <t>Г-ввод пер.3-й Лазоревый,51,СНТ Урожай, к.н. 61:44:0082612:1902,г.Ростов-на-Дону,стор.</t>
  </si>
  <si>
    <t>03.09.2018</t>
  </si>
  <si>
    <t>Г-ввод пер.Днепродзержинский,49,г.Ростов-на-Дону, к ПГНД ул.Детской,г.Ростов-на-Дону,аренда</t>
  </si>
  <si>
    <t>22.03.2018</t>
  </si>
  <si>
    <t>Г-ввод СНТ Ириния,68, к.н. 61:44:0030601:8, г.Ростов-на-Дону,стор.</t>
  </si>
  <si>
    <t>13.09.2018</t>
  </si>
  <si>
    <t>Г-ввод пер.9-й Лазоревый,48а,СНТ Урожай,г.Ростов-на-Дону,стор.</t>
  </si>
  <si>
    <t>28.09.2018</t>
  </si>
  <si>
    <t>Г-ввод ул.5-я Сувенирная,21,СНТ Защитник,г.Ростов-на-Дону,стор.</t>
  </si>
  <si>
    <t>31.07.2018</t>
  </si>
  <si>
    <t>Г-ввод СНТ Яблочко,123,Аксайский р-н,стор.</t>
  </si>
  <si>
    <t>Г-ввод СНТ Яблочко,39,Аксайский р-н,стор.</t>
  </si>
  <si>
    <t>Г-ввод СНТ Яблочко,36,Аксайский р-н,стор.</t>
  </si>
  <si>
    <t>04.09.2018</t>
  </si>
  <si>
    <t>Г-ввод ул.Пороховая балка,65, СНТ Яблочко,Аксайский р-н,стор.</t>
  </si>
  <si>
    <t>11.10.2018</t>
  </si>
  <si>
    <t>Г-ввод пр-зд Дмитриевский,13/30, п.Темерницкий,Аксайский р-н,стор.</t>
  </si>
  <si>
    <t>Г-ввод ул.Екатерининская,55,п.Темерницкий,Аксайский р-н,стор.</t>
  </si>
  <si>
    <t>Г-ввод пер.Лазоревый,59а,СНТ Урожай,г.Ростов-на-Дону,стор.</t>
  </si>
  <si>
    <t>Г-ввод пер.4-й Лазоревый,49а,СНТ Урожай,г.Ростов-на-Дону,стор.</t>
  </si>
  <si>
    <t>Г-ввод ул.Печенежская,53,г.Ростов-на-Дону,стор.</t>
  </si>
  <si>
    <t>04.04.2018</t>
  </si>
  <si>
    <t>Г-ввод ул.Скифская,44А,г.Ростов-на-Дону,стор.</t>
  </si>
  <si>
    <t>01.06.2018</t>
  </si>
  <si>
    <t>Г-ввод ул.Пушкинская,175/99-101 (173-175) г.Ростов-на-Дону,к ПГСД ул.Пушкинская,г.Ростов-на-Дону,аренда</t>
  </si>
  <si>
    <t>25.04.2018</t>
  </si>
  <si>
    <t>Г-ввод ул.Петрозаводская,36,г.Ростов-на-Дону к ПГНД ул.Петрозаводская,г.Ростов-на-Дону,аренда</t>
  </si>
  <si>
    <t>Г-ввод ул.Лермонтовская,57,г.Ростов-на-Дону, к ГНД ул.Лермонтовская,г.Ростов-на-Дону,аренда</t>
  </si>
  <si>
    <t>06.06.2018</t>
  </si>
  <si>
    <t>Г-ввод ул.Одесская,33,г.Ростов-на-Дону, к ПГНД ул.Одесская,г.Ростов-на-Дону,аренда</t>
  </si>
  <si>
    <t>13.08.2018</t>
  </si>
  <si>
    <t>Г-ввод ш.Новочеркасское,5,г.Аксай,Аксайский р-н, к ГСД в р-не Пороховой балки,Аксайский р-н,аренда</t>
  </si>
  <si>
    <t>16.05.2018</t>
  </si>
  <si>
    <t>Г-ввод пер.Хрустальный,4,х.Камшыеваха,Аксайский р-н, к ГСД пер.Хрустальный,х.Камышеваха,Аксайский р-н,аренда</t>
  </si>
  <si>
    <t>Г-ввод ул.Латуневая,15,х.Камышеваха,Аксайский р-н,стор.</t>
  </si>
  <si>
    <t>10.07.2018</t>
  </si>
  <si>
    <t>Г-ввод СНТ Яблочко,62А,Аксайский р-н,стор.</t>
  </si>
  <si>
    <t>18.09.2018</t>
  </si>
  <si>
    <t>Г-ввод ул.Усадебная,10, г.Ростов-на-Дону,стор.</t>
  </si>
  <si>
    <t>Г-ввод пер.4-й Атаманский,8/121, г.Ростов-на-Дону,стор.</t>
  </si>
  <si>
    <t>Г-ввод ул.Бронзовая,18а,х.Камышеваха,Аксайский р-н,стор.</t>
  </si>
  <si>
    <t>Г-ввод ул.Литейная,10а,х.Камышеваха,Аксайский р-н,стор.</t>
  </si>
  <si>
    <t>Г-ввод пер.Красной Звезды,27а,г.Ростов-на-Дону, к ГНД пер.Красной Звезды,г.Ростов-на-Дону,аренда</t>
  </si>
  <si>
    <t>03.07.2018</t>
  </si>
  <si>
    <t>Г-ввод ул.Губаревича,46/6,г.Ростов-на-Дону, к ГНД ул.Губаревича,г.Ростов-на-Дону,аренда</t>
  </si>
  <si>
    <t>Г-ввод пер.Готвальда,16а,г.Ростов-на-Дону, к ГНД пер.Готвальда,г.Ростов-на-Дону,аренда</t>
  </si>
  <si>
    <t>Г-ввод ул.Гусева,75,г.Ростов-на-Дону, к ГНД ул.Гусева,г.Ростов-на-Дону,аренда</t>
  </si>
  <si>
    <t>20.07.2018</t>
  </si>
  <si>
    <t>Г-ввод пер.Геленджикский,23,г.Ростов-на-Дону, к ГНД пер.Геленджикский,г.Ростов-на-Дону,аренда</t>
  </si>
  <si>
    <t>Г-ввод пер.Тебердинский,35А,г.Ростов-на-Дону г.ГНД пер.Тебердинский,г.Ростов-на-Дону,аренда</t>
  </si>
  <si>
    <t>29.08.2018</t>
  </si>
  <si>
    <t>Г-ввод СНТ Задонье,66/2,г.Ростов-на-Дону,стор.</t>
  </si>
  <si>
    <t>24.05.2018</t>
  </si>
  <si>
    <t>Г-ввод 7-я улица,54, СНТ Донподход, Ростов-на-Дону,стор.</t>
  </si>
  <si>
    <t>Г-ввод 7-я улица,52, СНТ Донподход, Ростов-на-Дону,стор.</t>
  </si>
  <si>
    <t>Г-ввод пер.Черепичный,10,г.Ростов-на-Дону,стор.</t>
  </si>
  <si>
    <t>15.05.2018</t>
  </si>
  <si>
    <t>Г-ввод ул.Романтичная,70/15, СНТ Донподход к ПГНД тер-ии СНТ Донподход, г.Ростов-на-Дону,аренда</t>
  </si>
  <si>
    <t>15.08.2018</t>
  </si>
  <si>
    <t>Г-ввод ул.Байкальская,84А,г.Ростов-на-Дону, к ГНД ул.Байкальская,г.Ростов-на-дону,аренда</t>
  </si>
  <si>
    <t>Г-ввод СНТ Южтехмонтаж-1, № 180,186,187,192, г.Ростов-на-Дону,стор.</t>
  </si>
  <si>
    <t>Г-ввод пр.Новоселов,7,п.Темерницкий,Аксайский р-н,стор.</t>
  </si>
  <si>
    <t>07.06.2018</t>
  </si>
  <si>
    <t>Г-ввод ул.10-я Престижная,28, ДНТ Гамма-Труд,г.Ростов-на-Дону,стор.</t>
  </si>
  <si>
    <t>25.09.2018</t>
  </si>
  <si>
    <t>Г-ввод СНТ Аэро,347,г.Ростов-на-Дону,стор.</t>
  </si>
  <si>
    <t>19.09.2018</t>
  </si>
  <si>
    <t>Г-ввод 2-я линия,27, 2-я Престижная,27, ДНТ Гамма-Труд, г.Ростов-на-Дону,стор.</t>
  </si>
  <si>
    <t>07.05.2018</t>
  </si>
  <si>
    <t>Г-ввод ул.6-я Престижная,21, ДНТ Гамма-Труд,г.Ростов-на-Дону,стор.</t>
  </si>
  <si>
    <t>Г-ввод пр-зд Тверской,67,п.Темерницкий,Аксайский р-н,стор.</t>
  </si>
  <si>
    <t>14.09.2018</t>
  </si>
  <si>
    <t>Г-ввод ул.Ореховая,4А,п.Темерницкий,Аксайский р-н,стор.</t>
  </si>
  <si>
    <t>Г-ввод ДНТ Утро,255,г.Ростов-на-Дону,стор.</t>
  </si>
  <si>
    <t>Г-ввод ул.Малюгиной,49, г.Ростов-на-Дону, стор.</t>
  </si>
  <si>
    <t>15.02.2018</t>
  </si>
  <si>
    <t>Г-ввод ул.Гераневая,20,г.Ростов-на-Дону к ПГСД ул.Гераневая,г.Ростов-на-Дону,стор.</t>
  </si>
  <si>
    <t>Г-ввод ул.Виноградная,8,п.Водопадный,Аксайский р-н,стор.</t>
  </si>
  <si>
    <t>Г-ввод пер.6-й Санинструкторский,19,г.Ростов-на-Дону, к ГНД с-з Нива, г.Ростов-на-Дону, аренды</t>
  </si>
  <si>
    <t>20.07.2017</t>
  </si>
  <si>
    <t>Г-ввод ул.Левобережная,4, ст.Донское, в 10 км. на север 1293, ст.Ольгинская,Аксайский р-н, стор.</t>
  </si>
  <si>
    <t>Г-ввод ул.Левобережная,4, ст.Донское, в 10 км. на север 1000, ст.Ольгинская,Аксайский р-н, стор.</t>
  </si>
  <si>
    <t>Г-ввод ул.Левобережная,4, ст.Донское, в 10 км. на север 290, ст.Ольгинская,Аксайский р-н, стор.</t>
  </si>
  <si>
    <t>Г-ввод ул.Левобережная,4, ст.Донское,366, ст.Ольгинская,Аксайский р-н, стор.</t>
  </si>
  <si>
    <t>Г-ввод ул.Левобережная,4, ст.Донское,748, ст.Ольгинская,Аксайский р-н, стор.</t>
  </si>
  <si>
    <t>Г-ввод ул.Левобережная,4, ст.Донское,367, ст.Ольгинская,Аксайский р-н, стор.</t>
  </si>
  <si>
    <t>Г-ввод ул.Левобережная,4, ст.Донское, в 10 км. на север 1316, ст.Ольгинская,Аксайский р-н, стор.</t>
  </si>
  <si>
    <t>Г-ввод ул.Левобережная,4, ст.Донское,1313, ст.Ольгинская,Аксайский р-н, стор.</t>
  </si>
  <si>
    <t>13.02.2018</t>
  </si>
  <si>
    <t>Г-ввод СНТ Братство,294,г.Ростов-на-Дону,стор.</t>
  </si>
  <si>
    <t>17.05.2018</t>
  </si>
  <si>
    <t>Г-ввод ул.4-я Престижная,4, ДНТ ГАмма-Труд,г.Ростов-на-Дону, стор.</t>
  </si>
  <si>
    <t>Г-ввод пер.8-й Лазоревый,66,СНТ Урожай,г.Ростов-на-Дону,стор.</t>
  </si>
  <si>
    <t>09.07.2018</t>
  </si>
  <si>
    <t>Г-ввод СНТ Урожай, 6-81, к.н. 61:44:0082612:418, г.Ростов-на-Дону,стор.</t>
  </si>
  <si>
    <t>Г-ввод ул.7-я Канатная,109а, к.н. 61:44:0081013:448, г.Ростов-на-Дону, стор.</t>
  </si>
  <si>
    <t>15.09.2017</t>
  </si>
  <si>
    <t>Г-ввод ул.8-я Турнирная,33а, СНТ Братство, г.Ростов-на-Дону,стор.</t>
  </si>
  <si>
    <t>Г-ввод СНТ Аэро,216,г.Ростов-на-Дону,стор.</t>
  </si>
  <si>
    <t>Г-ввод ул.2-я Престижная,46,ДНТ Гамма-Труд,г.Ростов-на-Дону,стор.</t>
  </si>
  <si>
    <t>Г-ввод ул.Ажурная,66,СНТ Союз,,г.Ростов-на-Дону,стор.</t>
  </si>
  <si>
    <t>Г-ввод пр-зд Тихий,6, п.Темерницкий,Аксайский р-н, стор.</t>
  </si>
  <si>
    <t>Г-ввод ул.5-я Престижная,62, ДНТ Гамма-Труд,г.Ростов-на-Дону,стор.</t>
  </si>
  <si>
    <t>14.05.2018</t>
  </si>
  <si>
    <t>Г-ввод пр-зд Нижегородский,4,п.Темерницкий,Аксайский р-н,стор.</t>
  </si>
  <si>
    <t>Г-ввод ул.3-я Турнирная,275, СНТ Братство, г.Ростов-на-Дону,стор.</t>
  </si>
  <si>
    <t>02.04.2018</t>
  </si>
  <si>
    <t>Г-ввод ул.Гераневая,35,г.Ростов-на-Дону к ПГСД ул.Гераневая,г.Ростов-на-Дону,стор.</t>
  </si>
  <si>
    <t>Г-ввод ул.Криничная,23/18, ДНТ Исток,г.Ростов-на-Дону,стор.</t>
  </si>
  <si>
    <t>27.08.2018</t>
  </si>
  <si>
    <t>Г-ввод СНТ Урожай, к.н. 61:44:0082612:1897, г.Ростов-на-Дону,стор.</t>
  </si>
  <si>
    <t>Г-ввод пер.1-й Лазоревый,8/2,СНТ Урожай,1-04, г.Ростов-на-Дону,стор.</t>
  </si>
  <si>
    <t>28.08.2018</t>
  </si>
  <si>
    <t>Г-ввод пер.5-й Лазоревый,60а, СНТ Урожай,г.Ростов-на-Дону,стор.</t>
  </si>
  <si>
    <t>Г-ввод СНТ Урожай,7-19,г.Ростов-на-Дону,стор.</t>
  </si>
  <si>
    <t>24.09.2018</t>
  </si>
  <si>
    <t>Г-ввод ул.Рыцарская,114,СНТ Братство, г.Ростов-на-Дону к ПГНД по ул.Рыцарская, стор</t>
  </si>
  <si>
    <t>Г-ввод ул.5-я Престижная,44, ДНТ Гамма-Труд,г.Ростов-на-Дону,стор.</t>
  </si>
  <si>
    <t>Г-ввод ул.Шоссейная,47е,г.Ростов-на-Дону,стор.</t>
  </si>
  <si>
    <t>Г-ввод ул.2-я Баррикадная,4,г.Ростов-на-Дону к ПГНД ул.4-я Кольцевая,г.Ростов-на-Дону,аренда</t>
  </si>
  <si>
    <t>03.10.2017</t>
  </si>
  <si>
    <t>Г-ввод пер.Новосибирский,23а,г.Ростов-на-Дону, к ГНД пер.Новосибирский,г.Ростов-на-Дону,аренда</t>
  </si>
  <si>
    <t>13.12.2017</t>
  </si>
  <si>
    <t>Г-ввод ул.Ростовская,8,п.Янтарный,Аксайский р-н,стор.</t>
  </si>
  <si>
    <t>Г-ввод ул.Левобережная,2, СНТ Задонье, уч-к 385, к.н. 61:02:0504401:1885, ст.Ольгинская,Аксайский р-н,стор.</t>
  </si>
  <si>
    <t>Г-ввод ул.2-я Союзная,64, г.Ростов-на-Дону, стор.</t>
  </si>
  <si>
    <t>Г-ввод ул.2-я Баррикадная,45А,г.Ростов-на-Дону,стор.</t>
  </si>
  <si>
    <t>Г-ввод пер.Казахтанский,33,литер Х, г.Ростов-на-Дону, к ГНД пер.Казахтанский,г.Ростов-на-Дону,аренда</t>
  </si>
  <si>
    <t>24.07.2018</t>
  </si>
  <si>
    <t>Г-ввод пер.2-й Рядовой,22,ДНТ Победа,г. Ростов-на-Дону,стор.</t>
  </si>
  <si>
    <t>Г-ввод ул.Семейная,74, СНТ Восход, г.Ростов-на-Дону,стор</t>
  </si>
  <si>
    <t>Г-ввод ул.Трудящихся,76,г.Ростов-на-Дону, к ГНД ул.Трудящихся,г.Ростов-на-Дону,аренда</t>
  </si>
  <si>
    <t>Г-ввод ул.1-я улица,24, СНТ Донподход,г.Ростов-на-Дону,стор.</t>
  </si>
  <si>
    <t>Г-ввод ул.Левобережная,4, ст.Донское, в 10 км. на север  уч-к 111, ст.Ольгинская,Аксайский р-н, стор.</t>
  </si>
  <si>
    <t>08.08.2017</t>
  </si>
  <si>
    <t>Г-ввод СНТ Восток, уч-к 11, к.н. 61:44:0030608:12, г.Ростов-на-Дону,стор.</t>
  </si>
  <si>
    <t>30.10.2018</t>
  </si>
  <si>
    <t>Г-ввод 1-й км.автодороги Ростов-на-Дону-Новошахтинск,уч. 5/5</t>
  </si>
  <si>
    <t>08.11.2018</t>
  </si>
  <si>
    <t>Г-ввод ул.Спелая,27,ДНТ Садовод-Любитель,г.Ростов-на-Дону, стор.</t>
  </si>
  <si>
    <t>05.07.2018</t>
  </si>
  <si>
    <t>Г-ввод СНТ Урожай,1-28, г.Ростов-на-Дону,стор.</t>
  </si>
  <si>
    <t>Г-ввод ул.3-я Турнирная,148А, СНТ Братство,454, г.Ростов-на-Дону,стор.</t>
  </si>
  <si>
    <t>11.10.2017</t>
  </si>
  <si>
    <t>Г-ввод ул.3-я Турнирная,94, СНТ Братство, к.н.61:44:0080901:3710, г.Ростов-на-Дону,стор.</t>
  </si>
  <si>
    <t>01.11.2017</t>
  </si>
  <si>
    <t>Г-ввод ул.6-я Турнирная,9А, СНТ Братство, к.н.61:44:0080901:3780, г.Ростов-на-Дону,стор.</t>
  </si>
  <si>
    <t>Г-ввод ул.6-я Турнирная,9, СНТ Братство, к.н.61:44:0080901:3779, г.Ростов-на-Дону,стор.</t>
  </si>
  <si>
    <t>Г-ввод ул.2-я Турнирная,149, СНТ Братство, г.Ростов-на-Дону,стор.</t>
  </si>
  <si>
    <t>Г-ввод ул.3-я Турнирная,231, СНТ Братство, г.Ростов-на-Дону,стор.</t>
  </si>
  <si>
    <t>Г-ввод ул.3-я Турнирная,324, СНТ Братство, г.Ростов-на-Дону,стор.</t>
  </si>
  <si>
    <t>Г-ввод ул.6-я Турнирная,52, СНТ Братство,638, г.Ростов-на-Дону,стор.</t>
  </si>
  <si>
    <t>Г-ввод ул.6-я Турнирная,41А, СНТ Братство, к.н.61:44:0080901:3770, г.Ростов-на-Дону,стор.</t>
  </si>
  <si>
    <t>Г-ввод ул.2-я Турнирная,156А, к.н. 61:44:0080901:3851, СНТ Братство, г.Ростов-на-Дону,стор.</t>
  </si>
  <si>
    <t>Г-ввод ул.2-я Турнирная,156, к.н. 61:44:0080901:3850, СНТ Братство, г.Ростов-на-Дону,стор.</t>
  </si>
  <si>
    <t>Г-ввод снт Братство,12, пер.Дружный,27, к.н. 61:44:00809:01:3863 г.Ростов-на-Дону,стор.</t>
  </si>
  <si>
    <t>13.11.2018</t>
  </si>
  <si>
    <t>Г-ввод пер.8-й Дружный,20А, СНТ Братство, г.Ростов-на-Дону,стор.</t>
  </si>
  <si>
    <t>02.08.2018</t>
  </si>
  <si>
    <t>Г-ввод ул.6-я Турнирная,41, СНТ Братство, к.н.61:44:0080901:3769, г.Ростов-на-Дону,стор.</t>
  </si>
  <si>
    <t>Г-ввод пер.Пехотный,6/54, СНТ Братство, г.Ростов-на-Дону,стор.</t>
  </si>
  <si>
    <t>Г-ввод ул.2-я Линия,20,ДНТ Гамма-Труд, г.Ростов-на-Дону, заявитель Курбатова Е.А., стор.</t>
  </si>
  <si>
    <t>07.12.2017</t>
  </si>
  <si>
    <t>Г-ввод ул.Левобережная,4, с/т Донское, в 10 км.на север, уч-к 50, ст.Ольгинская,Аксайский р-н,стор.</t>
  </si>
  <si>
    <t>Г-ввод ул.Левобережная,4, с/т Донское, в 10 км.на север, уч-к 237, ст.Ольгинская,Аксайский р-н,стор.</t>
  </si>
  <si>
    <t>09.10.2018</t>
  </si>
  <si>
    <t>Г-ввод пер.Подсолнечный,2Б,г.Ростов-на-Дону,стор.</t>
  </si>
  <si>
    <t>Г-ввод ул.3-я Бежевая,34,ДНТ Донское, г.Ростов-на-Дону.стор.</t>
  </si>
  <si>
    <t>19.10.2018</t>
  </si>
  <si>
    <t>Г-ввод ул.Левобережная,4, ст.Донское, в 10 км. на север  уч-к 556, ст.Ольгинская,Аксайский р-н, стор.</t>
  </si>
  <si>
    <t>17.10.2018</t>
  </si>
  <si>
    <t>Г-ввод ул.Левобережная,4, ст.Донское, в 10 км. на север  уч-к 279, ст.Ольгинская,Аксайский р-н, стор.</t>
  </si>
  <si>
    <t>Г-ввод ул.Левобережная,4, ст.Донское, в 10 км. на север  уч-к 2, ст.Ольгинская,Аксайский р-н, стор.</t>
  </si>
  <si>
    <t>26.10.2018</t>
  </si>
  <si>
    <t>Г-ввод ул.Левобережная,4, ст.Донское, в 10 км. на север  уч-к 609, ст.Ольгинская,Аксайский р-н, стор.</t>
  </si>
  <si>
    <t>Г-ввод ул.Левобережная,4, ст.Донское, в 10 км. на север  уч-к 1089, ст.Ольгинская,Аксайский р-н, стор.</t>
  </si>
  <si>
    <t>31.10.2018</t>
  </si>
  <si>
    <t>Г-ввод ул.Песчаная,6, уч-к 1332, ДНТ Донподход,г.Ростов-на-Дону,стор.</t>
  </si>
  <si>
    <t>Г-ввод ул.Айвазовского,28/58, х.Ленинаван,Мясниковский р-н,стор.</t>
  </si>
  <si>
    <t>Г-ввод пер.8-й Лазоревый,80, СНТ Урожай,г.Ростов-на-Дону,стор.</t>
  </si>
  <si>
    <t>21.05.2018</t>
  </si>
  <si>
    <t>Г-ввод ул.3-я Авиапромовская,24, СНТ Аэро, г.Ростов-на-Дону,стор.</t>
  </si>
  <si>
    <t>Г-ввод пер.3-й Экипажный,16,  г.Ростов-на-Дону,стор.</t>
  </si>
  <si>
    <t>Г-ввод ул.7-я Городецкая,15/21,СТ Защитник,г.Ростов-на-Дону,стор.</t>
  </si>
  <si>
    <t>Г-ввод ул.Пригожая,3,г.Ростов-на-Дону,стор.</t>
  </si>
  <si>
    <t>Г-ввод СНТ Защитник,26/18,г.Ростов-на-Дону,стор.</t>
  </si>
  <si>
    <t>Г-ввод СНТ Защитник,23/70,г.Ростов-на-Дону,стор.</t>
  </si>
  <si>
    <t>Г-ввод СНТ Урожай, 4-70, к.н. 61:44:0082612:1915, г.Ростов-на-Дону</t>
  </si>
  <si>
    <t>Г-ввод ул.5-я Ненаглядная,41, СНТ Защитник, г.Ростов-на-Дону,стор.</t>
  </si>
  <si>
    <t>Г-ввод ул.2-я Кадетская,13, г.Ростов-на-Дону,стор.</t>
  </si>
  <si>
    <t>Г-ввод ул.Рождественская,13, СНТ Алмаз,г.Ростов-на-Дону,стор.</t>
  </si>
  <si>
    <t>25.10.2018</t>
  </si>
  <si>
    <t>Г-ввод ул.Айвовая,30/9, п.Янтарный,Аксайский р-н.стор.</t>
  </si>
  <si>
    <t>04.12.2018</t>
  </si>
  <si>
    <t>Г-ввод пер.3-й Авангардный,4, г.Ростов-на-Дону,стор.</t>
  </si>
  <si>
    <t>08.10.2018</t>
  </si>
  <si>
    <t>Г-ввод ул.Борковского,59, г.Ростов-на-Дону, к ГНД ул.Борковского,г.Ростов-на-Дону,аренда</t>
  </si>
  <si>
    <t>05.04.2018</t>
  </si>
  <si>
    <t>Г-ввод ул.Самоцветная,32/21,х.Камышеваха,Аксайский р-н.стор.</t>
  </si>
  <si>
    <t>Г-ввод СНТ Союз,138,г.Ростов-на-Дону,стор.</t>
  </si>
  <si>
    <t>Г-ввод пер.1-й Газонный,49, СНТ Южтехмонтаж,г.Ростов-на-Дону,стор.</t>
  </si>
  <si>
    <t>Г-ввод ул.Перламутровая,21а,х.Камышеваха,Аксайский р-н, аренда</t>
  </si>
  <si>
    <t>Г-ввод ул.Российская,6,х.Ленинакан,Мясниковский р-н,стор.</t>
  </si>
  <si>
    <t>Г-ввод ул.Российская,87,х.Ленинакан,Мясниковский р-н,стор.</t>
  </si>
  <si>
    <t>Г-ввод ул.70 лет Победы,18,х.Ленинаван,Мясниковский р-н,стор.</t>
  </si>
  <si>
    <t>Г-ввод пер.Роговский,43,г.Ростов-на-Дону к ГНД по пер.Роговский, аренда</t>
  </si>
  <si>
    <t>Г-ввод ул.Социалистическая,232, к.н. 61:44:0041111:1,г.Ростов-на-Дону к РГНД ул. Социалистическая,г.Ростов-на-Дону,аренда</t>
  </si>
  <si>
    <t>30.05.2018</t>
  </si>
  <si>
    <t>Г-ввод ул.Гончарова,22а,г.Ростов-на-Дону, к ПГНД ул.Гончарова,г.Ростов-на-Дону,аренда</t>
  </si>
  <si>
    <t>Г-ввод ул.30-летия Октября,23,г.Ростов-на-Дону, стор.</t>
  </si>
  <si>
    <t>Г-ввод ул.Армейская,41,г.Ростов-на-Дону, к ПГНД ул.Армейская,г.Ростов-на-Дону,аренда</t>
  </si>
  <si>
    <t>Г-ввод пер.Жемчужный,14б,г.Ростов-на-Дону,к НГНД пер.Жемчужный,г.Ростов-на-Дону,аренда</t>
  </si>
  <si>
    <t>03.08.2018</t>
  </si>
  <si>
    <t>Г-ввод ул.М.Горького,295,г.Ростов-на-Дону, к ПГСД ул.М.Горького,г.Ростов-на-Дону,аренда</t>
  </si>
  <si>
    <t>Г-ввод ул.Свободы,42,х.Ленинакан,Мясниковский р-н, стор.</t>
  </si>
  <si>
    <t>24.10.2018</t>
  </si>
  <si>
    <t>Г-ввод ул.6-я Процветания,16б,СНТ Урожай,г.Ростов-на-Дону,стор.</t>
  </si>
  <si>
    <t>01.11.2018</t>
  </si>
  <si>
    <t>Г-ввод ул.Гравитационная,12, СНТ Орбита,29,г.Ростов-на-Дону,стор.</t>
  </si>
  <si>
    <t>22.10.2018</t>
  </si>
  <si>
    <t>Г-ввод ул.Гравитационная,12А, СНТ Орбита,29,г.Ростов-на-Дону,стор.</t>
  </si>
  <si>
    <t>Г-ввод ул.Гравитационная,11, СНТ Орбита,29,г.Ростов-на-Дону,стор.</t>
  </si>
  <si>
    <t>Г-ввод пр.Стачки,28, г.Ростов-на-Дону, аренда</t>
  </si>
  <si>
    <t>28.03.2015</t>
  </si>
  <si>
    <t>Г-ввод пр.М.Нагибина,41, г.Ростов-на-Дону к ПГНД по пр.М.Нагибина, аренда</t>
  </si>
  <si>
    <t>12.03.2016</t>
  </si>
  <si>
    <t>Г-ввод ул.Механизаторов,8А, г.Ростов-на-Дону к ПГСД по ул.Механизаторов,8 и Конституционной, аренда</t>
  </si>
  <si>
    <t>27.03.2015</t>
  </si>
  <si>
    <t>Г-ввод пер.5-й Лазоревый,1а, г.Ростов-на-Дону, к ПГНД по тер. СНТ Урожай, г.Ростов-на-Дону, стор.</t>
  </si>
  <si>
    <t>21.06.2018</t>
  </si>
  <si>
    <t>Г-ввод пер.4-й Лазоревый,76,СНТ Урожай,г.Ростов-на-Дону,стор.</t>
  </si>
  <si>
    <t>Г-ввод ул.Гусева,73,г.Ростов-на-Дону,к ПГНД ул.Гусева, 73,г.Ростов-на-Дону,аренда</t>
  </si>
  <si>
    <t>Г-ввод ул.Тракторная,51,кв.1А,г.Ростов-на-Дону,аренда</t>
  </si>
  <si>
    <t>Г-ввод ул.Камская,103а,г.Ростов-на-Дону,к ПГНД ул.Камская,г.Ростов-на-Дону,аренда</t>
  </si>
  <si>
    <t>Г-ввод ул.Бусыгина,11а,г.Ростов-на-Дону, к ПГНД ул.Лесная,г.Ростов-на-Дону,аренда</t>
  </si>
  <si>
    <t>Г-ввод ул.Ларина,19а,г.Ростов-на-Дону,к ПГНД пер.Боевой,г.Ростов-на-Дону,аренда</t>
  </si>
  <si>
    <t>Г-ввод пер.5-й Лазоревый,47,СНТ Урожай,г.Ростов-на-Дону,стор.</t>
  </si>
  <si>
    <t>Г-ввод пер.Денисова,45,г.Ростов-на-Дону,стор.</t>
  </si>
  <si>
    <t>Г-ввод ул.2-я Обзорная,5А,ДНТ Мечта,г.Ростов-на-Дону,стор.</t>
  </si>
  <si>
    <t>Г-ввод ул.Сапфировая,Аметистовая,14/11,х.Камышеваха,Аксайский р-н,аренда</t>
  </si>
  <si>
    <t>Г-ввод ул.1-я Престижная,17,ДНТ Гамма-Труд,г.Ростов-на-Дону,стор.</t>
  </si>
  <si>
    <t>06.08.2018</t>
  </si>
  <si>
    <t>Г-ввод ул.1-я Престижная,15,ДНТ Гамма-Труд,г.Ростов-на-Дону,стор.</t>
  </si>
  <si>
    <t>Г-ввод СНТ Урожай,7-16,г.Ростов-на-Дону,стор.</t>
  </si>
  <si>
    <t>Г-ввод ул.Знакомая,141/4,СНТ Садовод,г.Ростов-на-Дону,стор.</t>
  </si>
  <si>
    <t>Г-ввод пр-зд 3-й Тверской,4, п.Темерницкий,Аксайский р-н,стор.</t>
  </si>
  <si>
    <t>Г-ввод пер.5-й Желанный,10, ДНТ Садовод-Любитель,г.Ростов-на-Дону,стор.</t>
  </si>
  <si>
    <t>Г-ввод пр-зд Видный,41, п.Темерницкий,Аксайский р-н.стор.</t>
  </si>
  <si>
    <t>Г-ввод пр-зд Видный,64, п.Темерницкий,Аксайский р-н.стор.</t>
  </si>
  <si>
    <t>Г-ввод СНТ Защитник,23/68,г.Ростов-на-Дону,стор.</t>
  </si>
  <si>
    <t>Г-ввод ул.2-я Процветания,9а,СНТ Урожай,г.Ростов-на-Дону,стор.</t>
  </si>
  <si>
    <t>Г-ввод пр-зд Видный,47,п.Темерницкий,Аксайский р-н,стор.</t>
  </si>
  <si>
    <t>Г-ввод ул.Екатерининская,48,п.Темерницкий,Аксайский р-н,стор.</t>
  </si>
  <si>
    <t>Г-ввод ул.7-я Сувенирная,15,СНТ Защитник,г.Ростов-на-Дону,стор.</t>
  </si>
  <si>
    <t>Г-ввод ул.Сосновая,24,п.Темерницкий,Аксайский р-н,стор.</t>
  </si>
  <si>
    <t>Г-ввод 200 м.автодороги Ростов-на-Дону Новошахтинск, к.н. 61:25:0600401:5846, Мясниковский р-н, стор.</t>
  </si>
  <si>
    <t>Г-ввод пер.Восточный,16,х.Ленинакан,Мясниковский р-н,стор.</t>
  </si>
  <si>
    <t>Г-ввод пер.Восточный,14а,х.Ленинакан,Мясниковский р-н,стор.</t>
  </si>
  <si>
    <t>Г-ввод Юго-Восточная промзона,уч.17, к.н. 61:25:0601001:1161,заявитель Олейникова, Мясниковский р-н аренда</t>
  </si>
  <si>
    <t>28.08.2017</t>
  </si>
  <si>
    <t>Г-ввод ул.Левобережная,17А г.Ростов-на-Дону к ГСД по ул.Левобережная,г.ростов-на-Дону,аренда</t>
  </si>
  <si>
    <t>11.08.2016</t>
  </si>
  <si>
    <t>Г-ввод ул.Черевичкина,106/2,г.Ростов-на-Дону к ГСД по ул.Черевичкина,г.Ростов-на-Дону, аренда</t>
  </si>
  <si>
    <t>12.10.2016</t>
  </si>
  <si>
    <t>Г-ввод пер.Жлобинский,8,г.Ростов-на-Дону к ГСД по пер.Жлобинский,Ростов-на-Дону, аренда</t>
  </si>
  <si>
    <t>04.10.2016</t>
  </si>
  <si>
    <t>12.12.2016</t>
  </si>
  <si>
    <t>14.09.2016</t>
  </si>
  <si>
    <t>Г-ввод ул.Портовая,257/27,г.Ростов-на-Дону г.ГНД ул.Портовая,г.Ростов-на-Дону,аренда</t>
  </si>
  <si>
    <t>Г-ввод ул.Каширская,8В,г.Ростов-на-Дону г.ГНД ул.ул.Каширскаяя,г.Ростов-на-Дону,аренда</t>
  </si>
  <si>
    <t>02.02.2017</t>
  </si>
  <si>
    <t>Г-ввод ул.Текучева,113,г.Ростов-на-Дону г.ГНД ул.Текучева,г.Ростов-на-Дону,аренда</t>
  </si>
  <si>
    <t>27.12.2016</t>
  </si>
  <si>
    <t>Г-ввод пр.40 лет Победы,55ж,г.Ростов-на-Дону г.ГСД пр.40 лет Победы,ж.д.55,57,53а,57аг.Ростов,аренда</t>
  </si>
  <si>
    <t>21.12.2016</t>
  </si>
  <si>
    <t>Г-ввод пер.Молодогвардейский,70Б,г.Ростов-на-Дону г.ГСД пер.Молодогвардейский,г.Ростов-на,аренда</t>
  </si>
  <si>
    <t>Г-ввод пер.Тебердинский,36,г.Ростов-на-Дону г.ГНД пер.Тебердинский,г.Ростов-на-Дону,аренда</t>
  </si>
  <si>
    <t>12.09.2016</t>
  </si>
  <si>
    <t>Г-ввод ДНТ Утро,18,г.Ростов-на-Дону,стор.</t>
  </si>
  <si>
    <t>26.12.2017</t>
  </si>
  <si>
    <t>Г-ввод ДНТ Утро,205,г.Ростов-на-Дону,стор.</t>
  </si>
  <si>
    <t>28.11.2017</t>
  </si>
  <si>
    <t>Г-ввод пер.5-й Кустарный,57,уч 29, ДНТ Утро,г.Ростов-на-Дону, к ГНД ДНТ Утро, г.Ростов-на-Дону,стор.</t>
  </si>
  <si>
    <t>19.12.2017</t>
  </si>
  <si>
    <t>Г-ввод пер.Беспалого,9,г.Ростов-на-Дону,стор.</t>
  </si>
  <si>
    <t>12.03.2018</t>
  </si>
  <si>
    <t>Г-ввод пр-зд Видный,38/41, п.Темерницкий,Аксайский р-н,стор.</t>
  </si>
  <si>
    <t>21.12.2017</t>
  </si>
  <si>
    <t>Г-ввод пер.4-й Кустарный,19,ДНТ Утро, г.Ростов-на-Дону,стор.</t>
  </si>
  <si>
    <t>02.02.2018</t>
  </si>
  <si>
    <t>Г-ввод пер.4-й Кустарный,1,ДНТ Утро,16,г.Ростов-на-Дону,стор.</t>
  </si>
  <si>
    <t>01.02.2018</t>
  </si>
  <si>
    <t>Г-ввод пер.5-й Кустарный,31,ДНТ Утро,42,г.Ростов-на-Дону,стор.</t>
  </si>
  <si>
    <t>Г-ввод пер.5-й Кустарный,56,ДНТ Утро,56,г.Ростов-на-Дону,стор.</t>
  </si>
  <si>
    <t>Г-ввод пер.1-й Берестяной,уч.73, ДНТ Утро,85, г.Ростов-на-Дону, стор.</t>
  </si>
  <si>
    <t>Г-ввод ул.Тибетская,136/2,г.Ростов-на-Дону,стор.</t>
  </si>
  <si>
    <t>21.11.2017</t>
  </si>
  <si>
    <t>Г-ввод ул.Орбитальная,3д,г.Ростов-на-Дону, стор.</t>
  </si>
  <si>
    <t>Г-ввод ул.Левобережная,с/т Задонье, уч-к 363/3,ст.Ольгинская,Аксайский р-н, стор.</t>
  </si>
  <si>
    <t>12.02.2018</t>
  </si>
  <si>
    <t>Г-ввод ул.Половецкая,4В,г.Ростов-на-Дону,стор.</t>
  </si>
  <si>
    <t>12.12.2017</t>
  </si>
  <si>
    <t>Г-ввод ул.Гостеприимная,8, ДНТ Исток,94, г.Ростов-на-Дону,стор.</t>
  </si>
  <si>
    <t>16.10.2017</t>
  </si>
  <si>
    <t>Г-ввод ул.Екатерининская,27,п.Темерницкий,Аксайский р-н,стор.</t>
  </si>
  <si>
    <t>27.11.2017</t>
  </si>
  <si>
    <t>Г-ввод пер.Изумрудный,27,х.Камышеваха к ПГНДпо пер.Изумрудный,Камышеваха,Аксайский р-н, аренда</t>
  </si>
  <si>
    <t>23.11.2015</t>
  </si>
  <si>
    <t>Г-ввод пер.Санаторный,6А,г.Ростов-на-Дону к ПГСД по пер.Санаторный, аренда</t>
  </si>
  <si>
    <t>20.03.2015</t>
  </si>
  <si>
    <t>Г-ввод ул.1-я Майская,5/9, г.Ростов-на-Дону к ПРГНД по ул.18-я Линия,г.Ростов-на-Дону, аренда</t>
  </si>
  <si>
    <t>07.05.2015</t>
  </si>
  <si>
    <t>Г-ввод пр.Стачки,342,г.Ростов-на-Дону к ПГНД по пр.Стачки, г.Ростов-на-Дону,аренда</t>
  </si>
  <si>
    <t>06.03.2016</t>
  </si>
  <si>
    <t>22.06.2015</t>
  </si>
  <si>
    <t>Г-ввод пер.1-й Берестяной,44, уч.137, ДНТ Утро,г.Ростов-на-Дону,стор.</t>
  </si>
  <si>
    <t>30.03.2018</t>
  </si>
  <si>
    <t>Г-ввод пер.2-й Берестяной,уч.227, ДНТ Утро, г.Ростов-на-Дону,стор.</t>
  </si>
  <si>
    <t>Г-ввод пер.5-й Кустарный,уч.64, ДНТ Утро, г.Ростов-на-Дону,стор.</t>
  </si>
  <si>
    <t>Г-ввод пер.5-й Кустарный,уч-к 49,ДНТ Утро, г.Ростов-на-Дону,стор.</t>
  </si>
  <si>
    <t>Г-ввод пер.1-й Флаговый,9/169, СНТ Братство, уч-к 707, г.Ростов-на-Дону,стор.</t>
  </si>
  <si>
    <t>21.03.2018</t>
  </si>
  <si>
    <t>Г-ввод ул.Левобережная,137,г.Ростов-на-Дону,стор.</t>
  </si>
  <si>
    <t>08.12.2017</t>
  </si>
  <si>
    <t>Г-ввод ул.6-я Улица,27, СНТ Донподход, г.Ростов-на-Дону,стор.</t>
  </si>
  <si>
    <t>22.01.2018</t>
  </si>
  <si>
    <t>Г-ввод пр-зд Екатерининский,7, п.Темерницкий,Аксайский р-н, стор.</t>
  </si>
  <si>
    <t>01.03.2018</t>
  </si>
  <si>
    <t>Г-ввод пр-зд Прохладный,23а,п.Темерницкий,Аксайский р-н, стор.</t>
  </si>
  <si>
    <t>Г-ввод пер.5-й Лазоревый,63,СНТ Урожай,г.Ростов-на-Дону,стор.</t>
  </si>
  <si>
    <t>27.04.2018</t>
  </si>
  <si>
    <t>Г-ввод ул.2-я Престижная,22,ДНТ Гамма-Труд,г.Ростов-на-Дону,стор.</t>
  </si>
  <si>
    <t>Г-ввод ул.Материнская,2/16,ДНТ Исток,г.Ростов-на-Дону,стор.</t>
  </si>
  <si>
    <t>25.05.2018</t>
  </si>
  <si>
    <t>Г-ввод пр-езд Ореховый,24/1,п.Темерницкий,Аксайский р-н.стор.</t>
  </si>
  <si>
    <t>23.04.2018</t>
  </si>
  <si>
    <t>Г-ввод ДНТ Исток,265,г.Ростов-на-Дону,стор.</t>
  </si>
  <si>
    <t>Г-ввод ул.3-я Бежевая,13,ДНТ Донподход,г.Ростов-на-Дону,стор.</t>
  </si>
  <si>
    <t>Г-ввод ул.Гравитационная,25, СНТ Орбита,31,г.Ростов-на-Дону,стор.</t>
  </si>
  <si>
    <t>14.03.2018</t>
  </si>
  <si>
    <t>Г-ввод ул.9-я Ненаглядная,29,СНТ Защитник,26/14,г.Ростов-на-Дону,стор.</t>
  </si>
  <si>
    <t>06.04.2018</t>
  </si>
  <si>
    <t>Г-ввод пр.Шолохова,121/1,г.Ростов-на-Дону,к ПГНД ул.Полторацкого,г.Ростов-на-Дону,аренда</t>
  </si>
  <si>
    <t>09.04.2018</t>
  </si>
  <si>
    <t>Г-ввод ул.Фурмановская,150,к РГСД ул.Фурмановская,г.Ростов-на-Дону,аренда</t>
  </si>
  <si>
    <t>13.03.2018</t>
  </si>
  <si>
    <t>Г-ввод севернее Ростовского моря в кв.12,уч.5,г.Ростов-на-Дону,ПГСД ул.Сорокина,г.Ростов-на-Дону,аренда</t>
  </si>
  <si>
    <t>Г-ввод ул.Благодатная,193,г.Ростов-на-Дону, ПГСД ул.Благодатная,г.Ростов-на-Дону,аренда</t>
  </si>
  <si>
    <t>Г-ввод пер.Саперный спуск,54/26,г.Ростов-на-Дону,к ПГНД пер.Булановский,г.Ростов-на-Дону,аренда</t>
  </si>
  <si>
    <t>Г-ввод ул.Вселенной,54,г.Ростов-на-Дону,стор.</t>
  </si>
  <si>
    <t>24.04.2018</t>
  </si>
  <si>
    <t>Г-ввод пер.Рыбный,13,г.Ростов-на-Дону,к ПГНД пер.Рыбный,г.Ростов-на-Дону,аренда</t>
  </si>
  <si>
    <t>Г-ввод ул.Вавилова,71 Д/1,г.Ростов-на-Дону к ПГСД в г.Ростов-на-Дону по ул.Вавилова, аренда</t>
  </si>
  <si>
    <t>26.11.2015</t>
  </si>
  <si>
    <t>Г-ввод пр.Ставского-ул.Профсоюзная,г.Ростов-на-Дону к ПГНД диам.57мм,пр20,2пм.по ул.Ставского,аренда</t>
  </si>
  <si>
    <t>17.09.2015</t>
  </si>
  <si>
    <t>Г-ввод пер.9-й Лазоревый,60,СНТ Урожай,г.Ростов-на-Дону,стор.</t>
  </si>
  <si>
    <t>Г-ввод пр-зд Удобный,18,п.Темерницкий,Аксайский р-н,стор.</t>
  </si>
  <si>
    <t>23.10.2018</t>
  </si>
  <si>
    <t>Г-ввод ул.И.Айвазовского,18,х.Ленинаван,Мясниковский р-н,стор.</t>
  </si>
  <si>
    <t>Г-ввод ул.10-я,7,СНТ Донподход,г.Ростов-на-Дону,стор.</t>
  </si>
  <si>
    <t>Г-ввод ул.Жавель,51,х.Камышеваха,Аксайский р-н,стор.</t>
  </si>
  <si>
    <t>Г-ввод ул.Днепропетровская,50Д,г.Ростов-на-Дону, заявитель Пащенко Г.В.,стор.</t>
  </si>
  <si>
    <t>19.10.2017</t>
  </si>
  <si>
    <t>Г-ввод пер.Олимпийский,9/134,г.Ростов-на-Дону, к ПГНД пер.Олимпийский,г.Ростов-на-Дону,аренда</t>
  </si>
  <si>
    <t>Г-ввод ул.Свободы,4,х.Ленинакан,Мясниковский р-н, стор.</t>
  </si>
  <si>
    <t>Г-ввод пер.2-й Рядовой,56,ДНТ Победа,г. Ростов-на-Дону,стор.</t>
  </si>
  <si>
    <t>Г-ввод ул.3-я Престижная,26, г.Ростов-на-Дону,стор.</t>
  </si>
  <si>
    <t>Г-ввод пер.1-й Черкасский,16, СНТ Алмаз, г.Ростов-на-Дону,стор.</t>
  </si>
  <si>
    <t>Г-ввод пер.1-й Черкасский,18, СНТ Алмаз, г.Ростов-на-Дону,стор.</t>
  </si>
  <si>
    <t>Г-ввод пер.2-й Черкасский,9, г.Ростов-на-Дону, стор.</t>
  </si>
  <si>
    <t>Г-ввод пер.2-й Черкасский,7, г.Ростов-на-Дону, стор.</t>
  </si>
  <si>
    <t>Г-ввод ул.Левобережная,4, ст.Донское, в 10 км. на север  уч-к 118, ст.Ольгинская,Аксайский р-н, стор.</t>
  </si>
  <si>
    <t>Г-ввод СНТ Братство,193, г.Ростов-на-Дону,стор.</t>
  </si>
  <si>
    <t>07.11.2018</t>
  </si>
  <si>
    <t>Г-ввод пер.7-й Лазоревый,73, СНТ Урожай,г.Ростов-на-Дону,стор.</t>
  </si>
  <si>
    <t>Г-ввод снт Братство,12, к.н. 61:44:0080901:3864, г.Ростов-на-Дону,стор.</t>
  </si>
  <si>
    <t>Г-ввод ул.7-я Процветания,33/74,СНТ Урожай,г.Ростов-на-Дону,стор.</t>
  </si>
  <si>
    <t>Г-ввод ул.2-я Турнирная,90а, СНТ Братство, г.Ростов-на-Дону,стор.</t>
  </si>
  <si>
    <t>Г-ввод ул.2-я Турнирная,90, СНТ Братство, г.Ростов-на-Дону,стор.</t>
  </si>
  <si>
    <t>Г-ввод ул.Рыцарская,85, СНТ Братство,961г.Ростов-на-Дону,стор.</t>
  </si>
  <si>
    <t>03.10.2018</t>
  </si>
  <si>
    <t>Г-ввод СНТ Урожай, к.н. 61:44:0082612:1849, г.Ростов-на-Дону, стор.</t>
  </si>
  <si>
    <t>Г-ввод пер.8-й Дружный,20, СНТ Братство, г.Ростов-на-Дону,стор.</t>
  </si>
  <si>
    <t>Г-ввод ул.3-я Турнирная,88а, СНТ Братство,300, г.Ростов-на-Дону,стор.</t>
  </si>
  <si>
    <t>Г-ввод ул.Петрожицкого,26,СНТ Инициативный,уч.272,к.н. 61:44:030606:0178, г.Ростов-на-Дону,стор.</t>
  </si>
  <si>
    <t>28.09.2017</t>
  </si>
  <si>
    <t>Г-ввод СНТ Урожай, к.н. 61:44:0082612:1858, г.Ростов-на-Дону, стор.</t>
  </si>
  <si>
    <t>Г-ввод СНТ Урожай, к.н. 61:44:0082612:1848, г.Ростов-на-Дону,стор.</t>
  </si>
  <si>
    <t>Г-ввод СНТ Урожай, 6-81, к.н. 61:44:0082612:1859, г.Ростов-на-Дону,стор.</t>
  </si>
  <si>
    <t>Г-ввод СНТ Братство,147,г.Ростов-на-Дону,стор.</t>
  </si>
  <si>
    <t>Г-ввод СНТ Братство,665,г.Ростов-на-Дону,стор.</t>
  </si>
  <si>
    <t>Г-ввод СНТ Урожай, к.н. 61:44:0082612:1674, г.Ростов-на-Дону,стор.</t>
  </si>
  <si>
    <t>Г-ввод ул.7-я Процветания,33а,СНТ Урожай,г.Ростов-на-Дону,стор.</t>
  </si>
  <si>
    <t>Г-ввод ул.Шостаковича,56б,г.Ростов-на-Дону,стор.</t>
  </si>
  <si>
    <t>Г-ввод СНТ Аксаец №1,г.Ростов-на-Дону,стор.</t>
  </si>
  <si>
    <t>27.07.2018</t>
  </si>
  <si>
    <t>Г-ввод ул.Вятская,104,г.Ростов-на-Дону,стор.</t>
  </si>
  <si>
    <t>16.02.2018</t>
  </si>
  <si>
    <t>Г-ввод пр.Ясный,14,п.Темерницкий,Аксайский р-н,стор.</t>
  </si>
  <si>
    <t>Г-ввод пер.Виноградный,2а,г.Ростов-на-Дону,аренда</t>
  </si>
  <si>
    <t>05.08.2016</t>
  </si>
  <si>
    <t>Г-вовд пр.Стачки,247а,г.Ростов-на-Дону,аренда</t>
  </si>
  <si>
    <t>Г-ввод ул.Мурманская,119а,г.Ростов-на-Дону,аренда</t>
  </si>
  <si>
    <t>Г-ввод ул.Нижненольная,16/64,г.Ростов-на-Дону,аренда</t>
  </si>
  <si>
    <t>Г-ввод пер.Крепостной,94,г.Ростов-на-Дону,аренда</t>
  </si>
  <si>
    <t>08.12.2015</t>
  </si>
  <si>
    <t>Г-ввод ул.Стрелковая,40А,г.Ростов-на-Дону к ПГНД д. до90мм по ул.Стрелковая,г.Ростов-на-Дону,аренда</t>
  </si>
  <si>
    <t>28.12.2015</t>
  </si>
  <si>
    <t>Г-ввод пер.Малый,23А,г.Ростов-на-Дону к ПГНД по пер.Малый, г.Ростов-на-Дону, аренда</t>
  </si>
  <si>
    <t>27.05.2016</t>
  </si>
  <si>
    <t>Г-ввод ул.Калиновская,55,г.Ростов-на-Дону к ПГНД по ул.Калиновская,Ростов-на-Дону, аренда</t>
  </si>
  <si>
    <t>13.05.2016</t>
  </si>
  <si>
    <t>Г-ввод ул.Ленина,161/2,г.Ростов-на-Дону к ГНД по ул.Ленина,г.ростов-на-Дону,аренда</t>
  </si>
  <si>
    <t>23.08.2016</t>
  </si>
  <si>
    <t>Г-ввод ул.Мурманская,80,г.Ростов-на-Дону к ГНД по ул.Мурманской,г.Ростов-на-Дону,аренда</t>
  </si>
  <si>
    <t>06.09.2016</t>
  </si>
  <si>
    <t>Г-ввод ул.Серова,18а,г.Ростов-на-Дону к ГНД по ул.Серова,г.Ростов-на-Дону,аренда</t>
  </si>
  <si>
    <t>18.07.2016</t>
  </si>
  <si>
    <t>Г-ввод ул.Очаковская,88,г.Ростов-на-Дону к ГНД ул.Очаковская,г.Ростов-на-Дону,аренда</t>
  </si>
  <si>
    <t>16.11.2015</t>
  </si>
  <si>
    <t>Г-ввод пер.Крепостной,44,г.Ростов-на-Дону к ГНД пер.Крепостной,94,г.Ростов-на-Дону,аренда</t>
  </si>
  <si>
    <t>Г-ввод ул.Береговая,59,г.Ростов-на-Дону к ГНД ул.Береговая,г.Ростов-на-Дону,аренда</t>
  </si>
  <si>
    <t>19.09.2016</t>
  </si>
  <si>
    <t>ПАО "Газпром газораспределение Ростов-на-Дону" в г. Ростове-на-Дону</t>
  </si>
  <si>
    <t>ПАО "Газпром газораспределение Ростов-на-Дону" в г.Азове</t>
  </si>
  <si>
    <t>Г-ввод б-р Белой Акации,36, х. Обуховка, Азовский р-н,аренда</t>
  </si>
  <si>
    <t>Г-ввод ДНТ Мичуринец-3,1186, г.Азов,стор.</t>
  </si>
  <si>
    <t>Г-ввод Кагальницкое шоссе,в р-не ГСК Автомобилист, г.Азов, РГСД ул.Промышл,ГРП з-а КПА,г.Азов,аренда</t>
  </si>
  <si>
    <t>Г-ввод п.Койсуг,72 участка,Азовский р-н,стор.</t>
  </si>
  <si>
    <t>Г-ввод пер.Братский,58,с. Новобатайск Кагальницкий р р-н,стор.</t>
  </si>
  <si>
    <t>Г-ввод пер.Газетный,44, с. Новобатайск, Азовский р-н,аренда</t>
  </si>
  <si>
    <t>Г-ввод пер.Дугинчик,12,х.Дугино,к РГСД х.Дугино,ГРПШ-4,7,Азовский р-н,аренда</t>
  </si>
  <si>
    <t>Г-ввод пер.З.Космодемьянской,1А,с.Кулешовка, ГНД ул.Красноарм,жд 170 ,340, Азовский р-н,аренда</t>
  </si>
  <si>
    <t>Г-ввод пер.Калининский,62,с.Новобатайск, к ГНД ул.Советской,с.Новобатайск,Кагальницкий р-н,аренда</t>
  </si>
  <si>
    <t>Г-ввод пер.Карьерный,28,г.Азов, РГНД пер.Надежный,14, г.Азов,аренда</t>
  </si>
  <si>
    <t>Г-ввод пер.Короткий,2,г.Азов,ГНД ул.Солнечный,Красногоровской,Азовский р-н,аренда</t>
  </si>
  <si>
    <t>Г-ввод пер.Литейный,9/22,г.Азов, ГСД ул.Промышленная,ГРП зав-да КПА,г.Азов,аренда</t>
  </si>
  <si>
    <t>Г-ввод пер.Мирный,12,с.Пешково,Азовский р-н,стор.</t>
  </si>
  <si>
    <t>31.04.2019</t>
  </si>
  <si>
    <t>Г-ввод пер.Молодежный,3,с.Самарское к РГНД ул.Юбилейная, Самара-нефть,Азовский р-н,аренда</t>
  </si>
  <si>
    <t>Г-ввод пер.Новослободский,3,с.Самарское,РГНД ул.Юбилейная,с.Самарское,Азовский р-н,аренда</t>
  </si>
  <si>
    <t>Г-ввод пер.Новослободский,7,с.Самарское,Азовский р-н,стор.</t>
  </si>
  <si>
    <t>Г-ввод пер.Октябрьский,24,с.Головатовка,Азовский р-н,стор.</t>
  </si>
  <si>
    <t>Г-ввод пер.Партизанский,1, с. Круглое, Азовский р-н,стор</t>
  </si>
  <si>
    <t>Г-ввод пер.Петровский,13,с.Самарское,Азовский р-н,стор.</t>
  </si>
  <si>
    <t>Г-ввод пер.Петровский,44Д,г.Азов, к ГНД пер.Урицк,Привокз,Макар,г.Азов,аренда</t>
  </si>
  <si>
    <t>Г-ввод пер.Радужный,2 А,г.Азов,стор.</t>
  </si>
  <si>
    <t>Г-ввод пер.Рыбацкий,1 А,с.Кагальник, к ГНД ул.Ломоносова,Чехова,Красноарм,с.Кагальник,Азовский р-н,аренда</t>
  </si>
  <si>
    <t>Г-ввод пер.Солнечный,14,с.Самарское,РГНД ул.Строит,Коопер,с.Самарское,Азовский р-н,аренда</t>
  </si>
  <si>
    <t>Г-ввод пер.Солнечный,9А,с.Самарское,РГНД ул.Строит,Коопер,с.Самарское,Азовский р-н,аренда</t>
  </si>
  <si>
    <t>Г-ввод пер.Средний,5,с.Новотроицкое, к ГНД ул.Калинина,Ленина,пер.Партизанского,с.Новотроицкое,Азовский р-н,аренда</t>
  </si>
  <si>
    <t>Г-ввод пер.Ткачевский,42,с. Новобатайск, Кагальницкий р-н, стор.</t>
  </si>
  <si>
    <t>Г-ввод пер.Урицкого,20 А,г.Азов, стор.</t>
  </si>
  <si>
    <t>Г-ввод пер.Широкий,16,с.Новобатайск,Азовский р-н,стор.</t>
  </si>
  <si>
    <t>Г-ввод пер.Широкий,18,с.Новобатайск,к ГНД с.Новобатайск,ул.Октябрьская,пер.Братский,Азовский р-н,аренда</t>
  </si>
  <si>
    <t>Г-ввод пер.Школьный,4,х.Дугино,Азовский р-н,стор.</t>
  </si>
  <si>
    <t>Г-ввод пер.Энгельса,12,с.Головатовка,Азовский р-н,стор.</t>
  </si>
  <si>
    <t>Г-ввод снт Мичуринец-2,уч-к 551,Азовский р-н, стор.</t>
  </si>
  <si>
    <t>Г-ввод СТ Дружба,71,г.Азов,стор.</t>
  </si>
  <si>
    <t>Г-ввод СТ Мичуринец-2,618,г.Азов,стор.</t>
  </si>
  <si>
    <t>Г-ввод СТ Мичуринец-2,650,г.Азов,стор.</t>
  </si>
  <si>
    <t>Г-ввод ул.7-я линия,67,СНТ Рыбник,г.Ростов-на-Дону, к ГНД п.Кумженский,г.Ростов-на-Дону,аренда</t>
  </si>
  <si>
    <t>Г-ввод ул.Азовская,1 (маг),с.Кулешовка,к ГНД ул.Новая,пер.Дачный,с.Кулешовка,Азовский р-н,аренда</t>
  </si>
  <si>
    <t>Г-ввод ул.Аксайская,28 Б,ДНТ Луч,Азовский р-н,стор.</t>
  </si>
  <si>
    <t>Г-ввод улАханова,9,х.Обуховка, Азовский р-н,стор.</t>
  </si>
  <si>
    <t>Г-ввод ул.Береговая,1Б,х.Курган к РГСД  ст "Энтузиаст"в х.Курган,Азовский р-н,аренда</t>
  </si>
  <si>
    <t>Г-ввод ул.Береговая,49,с.Кулешовка к ГНД по ул.Береговой в с.Кулешовка,Азовский р-н,аренда</t>
  </si>
  <si>
    <t>Г-ввод ул.Береговая,84,х.Колузаево к РГНД по ул.Ленина от задв.после ГРПШ-1, Азовский р-н,аренда</t>
  </si>
  <si>
    <t>Г-ввод ул.Бережная,33А,с.Новотроицкое к РГНД по ул.Ленина до Кирова,Бережной,Азовский р-н,аренда</t>
  </si>
  <si>
    <t>Г-ввод ул.Буденного,138,х.Пешково,Азовский р-н,стор.</t>
  </si>
  <si>
    <t>Г-ввод ул.В.Истомина,19Б,г.Азов, стор.</t>
  </si>
  <si>
    <t>Г-ввод ул.Вишневая,52Г, с. Пешково,Азовский р-н,стор</t>
  </si>
  <si>
    <t>Г-ввод ул.Гагарина,1,1 А,ДНТ Луч, Азовский р-н,стор.</t>
  </si>
  <si>
    <t>Г-ввод ул.Горожанова,69,с.Новобатайск,к ГНД ул.Горожанова,пер.Кировский,с.Новобатайск,Кагальницкий р-н,аренда</t>
  </si>
  <si>
    <t>Г-ввод ул.Дачная,2, ДНТ Луч п. Койсуг, Азовский р-н,стор</t>
  </si>
  <si>
    <t>Г-ввод ул.Дзержинского,74,г.Азов, к ГНД ул.Дзержинского,пер.Коллонтаевского,Интернационала,г.Азов,аренда</t>
  </si>
  <si>
    <t>Г-ввод ул.Дзержинского,93, к РГНД ул.Дзержинского пер.Коллонтаевс,пл.!!! Интерн.г.Азов,аренда</t>
  </si>
  <si>
    <t>Г-ввод ул.Дружбы,13,г.Азов к РГСД по ул.Дружбы к котельной РСМ в г.Азове,аренда</t>
  </si>
  <si>
    <t>Г-ввод ул.Дружбы,42,г.Азов,к ГСД ул.Дружбы, котельная РСМ г.Азов,стор.</t>
  </si>
  <si>
    <t>Г-ввод ул.Дугинчик,12,х. Дугино к РГСД подв. к х. Дугино, ГРПШ-4,Мясниковский р-н, аренда</t>
  </si>
  <si>
    <t>Г-ввод ул.Заводская,1Б,х.Обуховка,РГНД х.Обуховка,Азовский р-н, стор.</t>
  </si>
  <si>
    <t>Г-ввод ул.Заводская,22А, х. Обуховка,Азовский р-н,стор</t>
  </si>
  <si>
    <t>Г-ввод ул.К.Маркса,101А,с.Самарское к ГРНД по ул.К.Маркса к мол.заводу,с.Самарское,Азовский р,аренда</t>
  </si>
  <si>
    <t>Г-ввод ул.Кирова,11А,с.Новотроицкое,К ГНД ул.Кирова,с.Новотроицкое,Азовский р-н,аренда</t>
  </si>
  <si>
    <t>Г-ввод ул.Кирова,280,г.Азов, к ГНД ул.Кирова,пер.Черноморского,Кунникова,г.Азов,аренда</t>
  </si>
  <si>
    <t>Г-ввод ул.Кондаурова,10А,г.Азов, к ГНД ул.Кондаурова,10,г.Азов,аренда</t>
  </si>
  <si>
    <t>Г-ввод ул.Космонавтов,9,п.Койсуг,Азовский р-н,стор.</t>
  </si>
  <si>
    <t>Г-ввод ул.Ленина,28,кв.1,с.Кугей,Азовский р-н,стор.</t>
  </si>
  <si>
    <t>Г-ввод ул.Ленина,283, с. Кулешовка,Азовский р-н,аренда</t>
  </si>
  <si>
    <t>Г-ввод ул.Ленина,29,с.Новониколаевка,Азовский р-н,стор.</t>
  </si>
  <si>
    <t>Г-ввод ул.Ленина,293М, с. Кулешовка,Азовский р-н,стор.</t>
  </si>
  <si>
    <t>Г-ввод ул.Ленина,38Г,с.Пешково к ГНД по ул.Октябрьской до жил.дома №32,с.Пешково,Азовский р-н,аренда</t>
  </si>
  <si>
    <t>Г-ввод ул.Ленина,93,с.Новобатайск,Азовский р-н,стор.</t>
  </si>
  <si>
    <t>Г-ввод ул.Лермонтова,1, п.Красный Сад, Азовский р-н,аренд</t>
  </si>
  <si>
    <t>Г-ввод ул.Луговая,1В, п.Койсуг к ГСНД совх."Луч" п.Койсуг,Азовский р-н, аренда</t>
  </si>
  <si>
    <t>Г-ввод ул.Луговая,27,с.Кочеванчик,Азовский р-н,стор.</t>
  </si>
  <si>
    <t>Г-ввод ул.М.Горького,2б,х.Задонский к РГНД от ГПР ул.Ленина,Нольнойх.Задонский, Азовский р-н,аренда</t>
  </si>
  <si>
    <t>Г-ввод ул.Матросова,пер.Павлова,1/5а,г.Азов к ГНД ул.Павлова,Железнод,Красногор, г.Азов, аренда</t>
  </si>
  <si>
    <t>Г-ввод ул.Мира, 89, г. Азов, Азовский р-н,аренда</t>
  </si>
  <si>
    <t>Г-ввод ул.Мичуринская,46А с. Новобатайск, Азовский р-н,аренда</t>
  </si>
  <si>
    <t>Г-ввод ул.Молодежная,35,с.Пешково,Азовский р-н.стор.</t>
  </si>
  <si>
    <t>Г-ввод ул.Молодежная,77,с.Новотроицкое к РГНД по ул.Кирова с.Новотроиц,Азовский р-н,аренда</t>
  </si>
  <si>
    <t>Г-ввод ул.Морозовская,20,с.Новомаргаритово,Азовский р-н,стор.</t>
  </si>
  <si>
    <t>Г-ввод ул.Морская,22А,с.Займо-Обрыв,Азовский р-н,стор.</t>
  </si>
  <si>
    <t>Г-ввод ул.Морская,4, с. Займо-Обрыв, Азовский р-н,стор</t>
  </si>
  <si>
    <t>Г-ввод ул.Набережная,55,х.Рогожкино,Азовский р-н,стор.</t>
  </si>
  <si>
    <t>Г-ввод ул.Нежная,11,п.Овощной,Азовский р-н,стор.</t>
  </si>
  <si>
    <t>Г-ввод ул.Некрасова,47, г. Азов,Азовский р-н,аренда</t>
  </si>
  <si>
    <t>Г-ввод ул.Новая,3А,п.Овощной,Азовский р-н,стор.</t>
  </si>
  <si>
    <t>Г-ввод ул.Оборонная,15,г.Азов, РГНД ул.Оборонная,г.Азов,аренда</t>
  </si>
  <si>
    <t>Г-ввод ул.Ореховая,27,г.Азов,стор.</t>
  </si>
  <si>
    <t>Г-ввод ул.Островского,4А,п.Овощной,к ГНД ул.Горького,Ленина,Кравченко,Азовский р-н,аренда</t>
  </si>
  <si>
    <t>Г-ввод ул.Павлова,73 Д,г.Азов, ГНД ул.Ст.Разина,Ленина,Железн,г.Азов,аренда</t>
  </si>
  <si>
    <t>Г-ввод ул.Приморская,102,с.Семибалки,Азовский р-н,стор.</t>
  </si>
  <si>
    <t>Г-ввод ул.Пролетарская,3А.Кулешовка ГСД АКДП ул.Гагарина,с.Кулешовка,Азовский р-,аренда</t>
  </si>
  <si>
    <t>Г-ввод ул.Пушкина,104,с.Кагальник,ГНД ул.Пушкина,М.Горького,с.Кагальник,Азовский р-н,аренда</t>
  </si>
  <si>
    <t>Г-ввод ул.Пушкина,21,х.Береговой,Азовский р-н,стор.</t>
  </si>
  <si>
    <t>Г-ввод ул.Пушкина,79,г.Азов,к РГНД по ул.Пушкина от ул.Кошевого доввода в котел.ЗТО,г.Азов,аренда</t>
  </si>
  <si>
    <t>Расторжение договора в январе 2019 года</t>
  </si>
  <si>
    <t>Г-ввод ул.Свободы,19,с.Кагальник,Азовский р-н,ГНД ул.Свободы,Советск, с.Кагальник,Азовский р-н,аренда</t>
  </si>
  <si>
    <t>Г-ввод ул.Советская,34/48,с.Кагальник, к ГНД ул.Свободы,Советск,с.Кагальник,Азовский р-н,аренда</t>
  </si>
  <si>
    <t>Г-ввод ул.Советская,56,с.Кагальник к ГСНД по Советской от К.Маркса,с.Кагальник,Азрвский р-н,аренда</t>
  </si>
  <si>
    <t>Г-ввод ул.Советская,9, г.Азов,к ГНД ул.Лермонтова,Совет,Генуэз,г.Азов,аренда</t>
  </si>
  <si>
    <t>Г-ввод ул.Солнечная,19А,х.Новоалександровка,ГНД ул.Гагарина,Солнечная,х.Новоалександровка,Азовский р-н,аренда</t>
  </si>
  <si>
    <t>Г-ввод ул.Степная,192А,х.Дугино,Азовский р-н,стор.</t>
  </si>
  <si>
    <t>Г-ввод ул.Степная,24В к РГНД от ШРП до жд п.Солнечный,г.Азов, аренда</t>
  </si>
  <si>
    <t>Г-ввод ул.Степная,44, к РГНД от ШРП до жд в п.Солнечный, г.Азов, аренда</t>
  </si>
  <si>
    <t>Г-ввод ул.Строителей,25А,п.Тимирязевский к РГНД от врез.до загл.ж.д.19 по ул.Новой,Азовский р,аренда</t>
  </si>
  <si>
    <t>Г-ввод ул.Украинская,120Г, г.Азов,стор.</t>
  </si>
  <si>
    <t>Г-ввод ул.Ушакова,14,г.Азов,стор.</t>
  </si>
  <si>
    <t>Г-ввод ул.Чапаева,23,с.Головатовка,Азовский р-н,стор.</t>
  </si>
  <si>
    <t>Г-ввод ул.Чапаева,26,с.Головатовка,Азовский р-н,стор.</t>
  </si>
  <si>
    <t>Г-ввод ул.Чехова,7В,с.Кулешовка, ГНД ул.Ленина,пер.Матросова,Кулагина,с.Кулешовка,Белокалитвинский р-н,аренда</t>
  </si>
  <si>
    <t>г-ввод ул.Шевченко,39,с.Кугей,Азовский р-н,стор.</t>
  </si>
  <si>
    <t>Г-ввод ул.Широкая,2, х. Павло-Очакова,Азовский р-н,стор</t>
  </si>
  <si>
    <t>Г-ввод ул.Школьная,30А,х.Обуховка,Азовский р-н.стор.</t>
  </si>
  <si>
    <t>Г-ввод ул.Энгельса,96А,х.Пешково,Азовский р-н,стор.</t>
  </si>
  <si>
    <t>Г-ввод ул.Юбилейная,9,с.Самарское,Азовский р-н,стор.</t>
  </si>
  <si>
    <t>Г-ввод ул.Южная,87А,с.Пешково,Азовский р-н,стор.</t>
  </si>
  <si>
    <t>ГВНД с ГРПШ с.Петровка и с.Платоно-Петровка, Азовский р-н, инв.000013826</t>
  </si>
  <si>
    <t>ГНД (зак) ул.Ленина от Кооперативной до пер. Рыбацкий с Кагальник,Азовский район, инв.000014451</t>
  </si>
  <si>
    <t>ГНД бульвару Роз, п.Петровский,Азов, инв.22-06028</t>
  </si>
  <si>
    <t>ГНД пер.Красноармейскому до ж.д. № 7 по пер.Рыбацкий, с.Кагальник,Азовский район,инв.000014454</t>
  </si>
  <si>
    <t>ГСД для развития Северо-Восточной рекреационной зоны г.Азов</t>
  </si>
  <si>
    <t>ГСД х.Чумбур-Коса Азовского района. инв 22-04933</t>
  </si>
  <si>
    <t>РГНД ст.Елизаветинская,х.Коса,Азовского района, инв.000013768</t>
  </si>
  <si>
    <t>ПАО "Газпром газораспределение Ростов-на-Дону" в г. Шахты</t>
  </si>
  <si>
    <t>Г-ввод ул.Шоссейная,1-з, г.Шахты к РГСД п.Каменоломни имп.Базе от Крупской, г.Шахты, аренда</t>
  </si>
  <si>
    <t>12.04.2017</t>
  </si>
  <si>
    <t>Итого</t>
  </si>
  <si>
    <t>Председатель комиссии</t>
  </si>
  <si>
    <t>Начальник  УГС</t>
  </si>
  <si>
    <t>Начальник УКСИ</t>
  </si>
  <si>
    <t>Ведущий бухгалтер</t>
  </si>
  <si>
    <t>М.В. Щусь</t>
  </si>
  <si>
    <t xml:space="preserve">    ________________</t>
  </si>
  <si>
    <t>________________</t>
  </si>
  <si>
    <t>__________________</t>
  </si>
  <si>
    <t>_________________</t>
  </si>
  <si>
    <t>А.Н. Авилов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</si>
</sst>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;@"/>
    <numFmt numFmtId="165" formatCode="#,##0.0"/>
    <numFmt numFmtId="166" formatCode="0.0"/>
    <numFmt numFmtId="167" formatCode="0.0_ ;\-0.0\ "/>
    <numFmt numFmtId="168" formatCode="dd/mm/yy"/>
  </numFmts>
  <fonts count="44" x14ac:knownFonts="1">
    <font>
      <sz val="8"/>
      <name val="Arial"/>
      <family val="2"/>
    </font>
    <font>
      <sz val="9"/>
      <name val="Arial Cyr"/>
      <family val="2"/>
      <charset val="204"/>
    </font>
    <font>
      <b/>
      <i/>
      <sz val="9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i/>
      <sz val="9"/>
      <name val="Arial Cyr"/>
      <charset val="204"/>
    </font>
    <font>
      <sz val="9"/>
      <name val="Arial Cyr"/>
      <charset val="204"/>
    </font>
    <font>
      <sz val="10"/>
      <name val="Helv"/>
    </font>
    <font>
      <sz val="8"/>
      <name val="Arial"/>
      <family val="2"/>
    </font>
    <font>
      <b/>
      <sz val="9"/>
      <name val="Arial Cyr"/>
      <charset val="204"/>
    </font>
    <font>
      <b/>
      <i/>
      <sz val="12"/>
      <name val="Arial Cyr"/>
      <family val="2"/>
      <charset val="204"/>
    </font>
    <font>
      <sz val="9"/>
      <name val="Helv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9"/>
      <name val="Arial"/>
      <family val="2"/>
      <charset val="204"/>
    </font>
    <font>
      <i/>
      <sz val="9"/>
      <name val="Arial Cyr"/>
      <charset val="204"/>
    </font>
    <font>
      <i/>
      <sz val="9"/>
      <color theme="1"/>
      <name val="Arial Cyr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sz val="8"/>
      <name val="Arial Cyr"/>
      <charset val="204"/>
    </font>
    <font>
      <b/>
      <sz val="11"/>
      <name val="Arial Cyr"/>
      <charset val="204"/>
    </font>
    <font>
      <i/>
      <sz val="9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"/>
      <family val="2"/>
    </font>
    <font>
      <i/>
      <sz val="11"/>
      <color rgb="FF7F7F7F"/>
      <name val="Calibri"/>
      <family val="2"/>
      <charset val="204"/>
      <scheme val="minor"/>
    </font>
    <font>
      <sz val="9"/>
      <name val="Arial"/>
    </font>
    <font>
      <b/>
      <i/>
      <sz val="12"/>
      <name val="Arial Cyr"/>
      <charset val="204"/>
    </font>
    <font>
      <sz val="8"/>
      <name val="Arial"/>
      <family val="2"/>
      <charset val="204"/>
    </font>
    <font>
      <b/>
      <i/>
      <sz val="10"/>
      <name val="Arial"/>
      <family val="2"/>
      <charset val="204"/>
    </font>
    <font>
      <sz val="9"/>
      <color rgb="FF000000"/>
      <name val="Arial Cyr"/>
      <charset val="204"/>
    </font>
    <font>
      <sz val="9"/>
      <color indexed="8"/>
      <name val="Arial Cyr"/>
      <charset val="204"/>
    </font>
    <font>
      <b/>
      <i/>
      <sz val="9"/>
      <color indexed="12"/>
      <name val="Arial Cyr"/>
      <charset val="204"/>
    </font>
    <font>
      <sz val="10"/>
      <name val="Times New Roman"/>
      <family val="1"/>
      <charset val="1"/>
    </font>
    <font>
      <b/>
      <sz val="8"/>
      <name val="Arial"/>
      <family val="2"/>
      <charset val="204"/>
    </font>
    <font>
      <sz val="8"/>
      <color indexed="63"/>
      <name val="Arial"/>
      <family val="2"/>
    </font>
    <font>
      <sz val="9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9" fillId="0" borderId="0"/>
    <xf numFmtId="0" fontId="9" fillId="0" borderId="0"/>
    <xf numFmtId="0" fontId="13" fillId="0" borderId="0"/>
    <xf numFmtId="0" fontId="14" fillId="0" borderId="0"/>
    <xf numFmtId="0" fontId="9" fillId="0" borderId="0"/>
    <xf numFmtId="0" fontId="14" fillId="0" borderId="0"/>
    <xf numFmtId="0" fontId="29" fillId="0" borderId="0" applyNumberFormat="0" applyFill="0" applyBorder="0" applyAlignment="0" applyProtection="0"/>
  </cellStyleXfs>
  <cellXfs count="441">
    <xf numFmtId="0" fontId="0" fillId="0" borderId="0" xfId="0"/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16" fillId="0" borderId="1" xfId="0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wrapText="1"/>
    </xf>
    <xf numFmtId="0" fontId="16" fillId="0" borderId="1" xfId="1" applyNumberFormat="1" applyFont="1" applyFill="1" applyBorder="1" applyAlignment="1">
      <alignment horizontal="right" wrapText="1"/>
    </xf>
    <xf numFmtId="0" fontId="16" fillId="0" borderId="1" xfId="0" applyNumberFormat="1" applyFont="1" applyFill="1" applyBorder="1" applyAlignment="1">
      <alignment horizontal="right" wrapText="1"/>
    </xf>
    <xf numFmtId="0" fontId="17" fillId="0" borderId="1" xfId="0" applyNumberFormat="1" applyFont="1" applyFill="1" applyBorder="1" applyAlignment="1">
      <alignment horizontal="right" wrapText="1"/>
    </xf>
    <xf numFmtId="0" fontId="16" fillId="0" borderId="0" xfId="0" applyFont="1" applyFill="1" applyBorder="1" applyAlignment="1">
      <alignment horizontal="right" wrapText="1"/>
    </xf>
    <xf numFmtId="4" fontId="5" fillId="0" borderId="1" xfId="0" applyNumberFormat="1" applyFont="1" applyFill="1" applyBorder="1"/>
    <xf numFmtId="0" fontId="0" fillId="0" borderId="1" xfId="0" applyFont="1" applyFill="1" applyBorder="1"/>
    <xf numFmtId="0" fontId="6" fillId="0" borderId="0" xfId="0" applyFont="1" applyFill="1" applyBorder="1" applyAlignment="1">
      <alignment horizontal="right" wrapText="1"/>
    </xf>
    <xf numFmtId="0" fontId="16" fillId="0" borderId="4" xfId="0" applyFont="1" applyFill="1" applyBorder="1" applyAlignment="1">
      <alignment horizontal="right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horizontal="right" wrapText="1"/>
    </xf>
    <xf numFmtId="4" fontId="10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4" fontId="20" fillId="0" borderId="8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/>
    <xf numFmtId="4" fontId="5" fillId="0" borderId="1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4" fontId="1" fillId="0" borderId="0" xfId="0" applyNumberFormat="1" applyFont="1" applyFill="1" applyBorder="1"/>
    <xf numFmtId="4" fontId="2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16" fillId="0" borderId="1" xfId="7" applyFont="1" applyFill="1" applyBorder="1" applyAlignment="1">
      <alignment horizontal="right" wrapText="1"/>
    </xf>
    <xf numFmtId="4" fontId="1" fillId="0" borderId="17" xfId="0" applyNumberFormat="1" applyFont="1" applyFill="1" applyBorder="1"/>
    <xf numFmtId="4" fontId="25" fillId="0" borderId="17" xfId="0" applyNumberFormat="1" applyFont="1" applyFill="1" applyBorder="1" applyAlignment="1">
      <alignment horizontal="right" vertical="top" wrapText="1"/>
    </xf>
    <xf numFmtId="4" fontId="3" fillId="0" borderId="17" xfId="0" applyNumberFormat="1" applyFont="1" applyFill="1" applyBorder="1" applyAlignment="1">
      <alignment vertical="center"/>
    </xf>
    <xf numFmtId="0" fontId="16" fillId="0" borderId="16" xfId="0" applyFont="1" applyFill="1" applyBorder="1" applyAlignment="1">
      <alignment horizontal="right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vertical="center" wrapText="1"/>
    </xf>
    <xf numFmtId="0" fontId="6" fillId="0" borderId="16" xfId="1" applyNumberFormat="1" applyFont="1" applyFill="1" applyBorder="1" applyAlignment="1">
      <alignment horizontal="right" vertical="center" wrapText="1"/>
    </xf>
    <xf numFmtId="0" fontId="16" fillId="0" borderId="16" xfId="0" applyFont="1" applyFill="1" applyBorder="1" applyAlignment="1">
      <alignment horizontal="right" vertical="center"/>
    </xf>
    <xf numFmtId="4" fontId="15" fillId="0" borderId="16" xfId="0" applyNumberFormat="1" applyFont="1" applyFill="1" applyBorder="1" applyAlignment="1">
      <alignment horizontal="right" vertical="top" wrapText="1"/>
    </xf>
    <xf numFmtId="4" fontId="5" fillId="0" borderId="16" xfId="0" applyNumberFormat="1" applyFont="1" applyFill="1" applyBorder="1"/>
    <xf numFmtId="0" fontId="16" fillId="0" borderId="16" xfId="1" applyNumberFormat="1" applyFont="1" applyFill="1" applyBorder="1" applyAlignment="1">
      <alignment horizontal="right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horizontal="right" vertical="center" wrapText="1"/>
    </xf>
    <xf numFmtId="0" fontId="16" fillId="0" borderId="1" xfId="0" applyNumberFormat="1" applyFont="1" applyFill="1" applyBorder="1" applyAlignment="1">
      <alignment horizontal="right" vertical="top" wrapText="1" indent="2"/>
    </xf>
    <xf numFmtId="0" fontId="16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9" xfId="0" applyFont="1" applyFill="1" applyBorder="1" applyAlignment="1">
      <alignment vertical="center" wrapText="1"/>
    </xf>
    <xf numFmtId="0" fontId="16" fillId="0" borderId="1" xfId="0" applyNumberFormat="1" applyFont="1" applyFill="1" applyBorder="1" applyAlignment="1">
      <alignment horizontal="right" vertical="top" wrapText="1" indent="1"/>
    </xf>
    <xf numFmtId="0" fontId="36" fillId="0" borderId="1" xfId="0" applyFont="1" applyFill="1" applyBorder="1" applyAlignment="1">
      <alignment vertical="center" wrapText="1"/>
    </xf>
    <xf numFmtId="0" fontId="37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vertical="center"/>
    </xf>
    <xf numFmtId="0" fontId="16" fillId="0" borderId="1" xfId="1" applyFont="1" applyFill="1" applyBorder="1" applyAlignment="1">
      <alignment horizontal="right" vertical="center" wrapText="1"/>
    </xf>
    <xf numFmtId="0" fontId="16" fillId="0" borderId="2" xfId="0" applyNumberFormat="1" applyFont="1" applyFill="1" applyBorder="1" applyAlignment="1">
      <alignment horizontal="right" vertical="center" wrapText="1"/>
    </xf>
    <xf numFmtId="4" fontId="37" fillId="0" borderId="3" xfId="0" applyNumberFormat="1" applyFont="1" applyFill="1" applyBorder="1" applyAlignment="1">
      <alignment horizontal="center" vertical="center"/>
    </xf>
    <xf numFmtId="0" fontId="7" fillId="0" borderId="19" xfId="2" applyNumberFormat="1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right" vertical="top" wrapText="1"/>
    </xf>
    <xf numFmtId="0" fontId="37" fillId="0" borderId="3" xfId="0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0" fontId="6" fillId="0" borderId="16" xfId="1" applyNumberFormat="1" applyFont="1" applyFill="1" applyBorder="1" applyAlignment="1">
      <alignment vertical="center" wrapText="1"/>
    </xf>
    <xf numFmtId="0" fontId="0" fillId="0" borderId="0" xfId="0" applyFill="1"/>
    <xf numFmtId="0" fontId="0" fillId="0" borderId="22" xfId="0" applyFill="1" applyBorder="1" applyAlignment="1">
      <alignment vertical="center"/>
    </xf>
    <xf numFmtId="0" fontId="2" fillId="0" borderId="22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vertical="center"/>
    </xf>
    <xf numFmtId="0" fontId="19" fillId="0" borderId="22" xfId="1" applyNumberFormat="1" applyFont="1" applyFill="1" applyBorder="1" applyAlignment="1">
      <alignment vertical="center" wrapText="1"/>
    </xf>
    <xf numFmtId="4" fontId="1" fillId="0" borderId="22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4" fillId="0" borderId="22" xfId="1" applyNumberFormat="1" applyFont="1" applyFill="1" applyBorder="1" applyAlignment="1">
      <alignment vertical="center" wrapText="1"/>
    </xf>
    <xf numFmtId="0" fontId="5" fillId="0" borderId="22" xfId="2" applyNumberFormat="1" applyFont="1" applyFill="1" applyBorder="1" applyAlignment="1">
      <alignment vertical="center" wrapText="1"/>
    </xf>
    <xf numFmtId="0" fontId="21" fillId="0" borderId="22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 wrapText="1"/>
    </xf>
    <xf numFmtId="0" fontId="19" fillId="0" borderId="11" xfId="1" applyNumberFormat="1" applyFont="1" applyFill="1" applyBorder="1" applyAlignment="1">
      <alignment vertical="center" wrapText="1"/>
    </xf>
    <xf numFmtId="4" fontId="10" fillId="0" borderId="12" xfId="1" applyNumberFormat="1" applyFont="1" applyFill="1" applyBorder="1" applyAlignment="1">
      <alignment horizontal="right" vertical="center"/>
    </xf>
    <xf numFmtId="4" fontId="1" fillId="0" borderId="1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32" fillId="0" borderId="9" xfId="0" applyNumberFormat="1" applyFont="1" applyFill="1" applyBorder="1" applyAlignment="1">
      <alignment vertical="top" wrapText="1"/>
    </xf>
    <xf numFmtId="4" fontId="1" fillId="0" borderId="9" xfId="0" applyNumberFormat="1" applyFont="1" applyFill="1" applyBorder="1"/>
    <xf numFmtId="0" fontId="1" fillId="0" borderId="9" xfId="0" applyFont="1" applyFill="1" applyBorder="1"/>
    <xf numFmtId="0" fontId="32" fillId="0" borderId="22" xfId="0" applyNumberFormat="1" applyFont="1" applyFill="1" applyBorder="1" applyAlignment="1">
      <alignment vertical="top" wrapText="1"/>
    </xf>
    <xf numFmtId="4" fontId="1" fillId="0" borderId="22" xfId="0" applyNumberFormat="1" applyFont="1" applyFill="1" applyBorder="1" applyAlignment="1">
      <alignment vertical="center"/>
    </xf>
    <xf numFmtId="4" fontId="1" fillId="0" borderId="22" xfId="0" applyNumberFormat="1" applyFont="1" applyFill="1" applyBorder="1"/>
    <xf numFmtId="0" fontId="1" fillId="0" borderId="22" xfId="0" applyFont="1" applyFill="1" applyBorder="1"/>
    <xf numFmtId="0" fontId="32" fillId="0" borderId="30" xfId="0" applyNumberFormat="1" applyFont="1" applyFill="1" applyBorder="1" applyAlignment="1">
      <alignment vertical="top" wrapText="1"/>
    </xf>
    <xf numFmtId="4" fontId="1" fillId="0" borderId="30" xfId="0" applyNumberFormat="1" applyFont="1" applyFill="1" applyBorder="1"/>
    <xf numFmtId="0" fontId="1" fillId="0" borderId="30" xfId="0" applyFont="1" applyFill="1" applyBorder="1"/>
    <xf numFmtId="0" fontId="1" fillId="0" borderId="22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right" wrapText="1"/>
    </xf>
    <xf numFmtId="0" fontId="6" fillId="0" borderId="11" xfId="0" applyFont="1" applyFill="1" applyBorder="1" applyAlignment="1">
      <alignment horizontal="right" wrapText="1"/>
    </xf>
    <xf numFmtId="4" fontId="10" fillId="0" borderId="12" xfId="0" applyNumberFormat="1" applyFont="1" applyFill="1" applyBorder="1"/>
    <xf numFmtId="0" fontId="10" fillId="0" borderId="13" xfId="0" applyFont="1" applyFill="1" applyBorder="1"/>
    <xf numFmtId="4" fontId="10" fillId="0" borderId="0" xfId="0" applyNumberFormat="1" applyFont="1" applyFill="1" applyBorder="1"/>
    <xf numFmtId="4" fontId="3" fillId="0" borderId="22" xfId="0" applyNumberFormat="1" applyFont="1" applyFill="1" applyBorder="1" applyAlignment="1">
      <alignment vertical="center"/>
    </xf>
    <xf numFmtId="4" fontId="1" fillId="0" borderId="29" xfId="0" applyNumberFormat="1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6" fillId="0" borderId="22" xfId="0" applyFont="1" applyFill="1" applyBorder="1" applyAlignment="1">
      <alignment vertical="center" wrapText="1"/>
    </xf>
    <xf numFmtId="4" fontId="3" fillId="0" borderId="27" xfId="0" applyNumberFormat="1" applyFont="1" applyFill="1" applyBorder="1" applyAlignment="1">
      <alignment vertical="center"/>
    </xf>
    <xf numFmtId="0" fontId="6" fillId="0" borderId="33" xfId="0" applyFont="1" applyFill="1" applyBorder="1" applyAlignment="1">
      <alignment horizontal="right" wrapText="1"/>
    </xf>
    <xf numFmtId="4" fontId="10" fillId="0" borderId="35" xfId="0" applyNumberFormat="1" applyFont="1" applyFill="1" applyBorder="1"/>
    <xf numFmtId="0" fontId="10" fillId="0" borderId="35" xfId="0" applyFont="1" applyFill="1" applyBorder="1"/>
    <xf numFmtId="0" fontId="1" fillId="0" borderId="3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0" fillId="0" borderId="34" xfId="0" applyFill="1" applyBorder="1" applyAlignment="1">
      <alignment vertical="center"/>
    </xf>
    <xf numFmtId="4" fontId="1" fillId="0" borderId="3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/>
    <xf numFmtId="4" fontId="10" fillId="0" borderId="9" xfId="0" applyNumberFormat="1" applyFont="1" applyFill="1" applyBorder="1" applyAlignment="1"/>
    <xf numFmtId="4" fontId="10" fillId="0" borderId="22" xfId="0" applyNumberFormat="1" applyFont="1" applyFill="1" applyBorder="1" applyAlignment="1"/>
    <xf numFmtId="4" fontId="10" fillId="0" borderId="30" xfId="0" applyNumberFormat="1" applyFont="1" applyFill="1" applyBorder="1" applyAlignment="1"/>
    <xf numFmtId="4" fontId="7" fillId="0" borderId="7" xfId="0" applyNumberFormat="1" applyFont="1" applyFill="1" applyBorder="1" applyAlignment="1">
      <alignment wrapText="1"/>
    </xf>
    <xf numFmtId="4" fontId="10" fillId="0" borderId="0" xfId="0" applyNumberFormat="1" applyFont="1" applyFill="1" applyBorder="1" applyAlignment="1"/>
    <xf numFmtId="4" fontId="10" fillId="0" borderId="1" xfId="0" applyNumberFormat="1" applyFont="1" applyFill="1" applyBorder="1" applyAlignment="1">
      <alignment wrapText="1"/>
    </xf>
    <xf numFmtId="4" fontId="10" fillId="0" borderId="16" xfId="0" applyNumberFormat="1" applyFont="1" applyFill="1" applyBorder="1" applyAlignment="1"/>
    <xf numFmtId="4" fontId="10" fillId="0" borderId="16" xfId="1" applyNumberFormat="1" applyFont="1" applyFill="1" applyBorder="1" applyAlignment="1"/>
    <xf numFmtId="4" fontId="10" fillId="0" borderId="2" xfId="1" applyNumberFormat="1" applyFont="1" applyFill="1" applyBorder="1" applyAlignment="1"/>
    <xf numFmtId="4" fontId="7" fillId="0" borderId="2" xfId="5" applyNumberFormat="1" applyFont="1" applyFill="1" applyBorder="1" applyAlignment="1"/>
    <xf numFmtId="4" fontId="10" fillId="0" borderId="1" xfId="7" applyNumberFormat="1" applyFont="1" applyFill="1" applyBorder="1" applyAlignment="1"/>
    <xf numFmtId="4" fontId="10" fillId="0" borderId="1" xfId="1" applyNumberFormat="1" applyFont="1" applyFill="1" applyBorder="1" applyAlignment="1"/>
    <xf numFmtId="4" fontId="10" fillId="0" borderId="2" xfId="0" applyNumberFormat="1" applyFont="1" applyFill="1" applyBorder="1" applyAlignment="1">
      <alignment wrapText="1"/>
    </xf>
    <xf numFmtId="4" fontId="7" fillId="0" borderId="1" xfId="1" applyNumberFormat="1" applyFont="1" applyFill="1" applyBorder="1" applyAlignment="1"/>
    <xf numFmtId="0" fontId="10" fillId="0" borderId="19" xfId="0" applyFont="1" applyFill="1" applyBorder="1" applyAlignment="1"/>
    <xf numFmtId="4" fontId="10" fillId="0" borderId="22" xfId="1" applyNumberFormat="1" applyFont="1" applyFill="1" applyBorder="1" applyAlignment="1"/>
    <xf numFmtId="0" fontId="28" fillId="0" borderId="22" xfId="0" applyFont="1" applyFill="1" applyBorder="1" applyAlignment="1"/>
    <xf numFmtId="2" fontId="7" fillId="0" borderId="22" xfId="0" applyNumberFormat="1" applyFont="1" applyFill="1" applyBorder="1" applyAlignment="1"/>
    <xf numFmtId="4" fontId="10" fillId="0" borderId="12" xfId="1" applyNumberFormat="1" applyFont="1" applyFill="1" applyBorder="1" applyAlignment="1"/>
    <xf numFmtId="4" fontId="10" fillId="0" borderId="12" xfId="0" applyNumberFormat="1" applyFont="1" applyFill="1" applyBorder="1" applyAlignment="1"/>
    <xf numFmtId="4" fontId="10" fillId="0" borderId="34" xfId="0" applyNumberFormat="1" applyFont="1" applyFill="1" applyBorder="1" applyAlignment="1"/>
    <xf numFmtId="4" fontId="7" fillId="0" borderId="22" xfId="0" applyNumberFormat="1" applyFont="1" applyFill="1" applyBorder="1" applyAlignment="1"/>
    <xf numFmtId="4" fontId="7" fillId="0" borderId="30" xfId="0" applyNumberFormat="1" applyFont="1" applyFill="1" applyBorder="1" applyAlignment="1"/>
    <xf numFmtId="4" fontId="10" fillId="0" borderId="34" xfId="1" applyNumberFormat="1" applyFont="1" applyFill="1" applyBorder="1" applyAlignment="1"/>
    <xf numFmtId="4" fontId="1" fillId="0" borderId="0" xfId="0" applyNumberFormat="1" applyFont="1" applyFill="1" applyBorder="1" applyAlignment="1"/>
    <xf numFmtId="4" fontId="10" fillId="0" borderId="22" xfId="0" applyNumberFormat="1" applyFont="1" applyFill="1" applyBorder="1" applyAlignment="1">
      <alignment wrapText="1"/>
    </xf>
    <xf numFmtId="4" fontId="7" fillId="0" borderId="22" xfId="1" applyNumberFormat="1" applyFont="1" applyFill="1" applyBorder="1" applyAlignment="1"/>
    <xf numFmtId="4" fontId="10" fillId="0" borderId="7" xfId="0" applyNumberFormat="1" applyFont="1" applyFill="1" applyBorder="1" applyAlignment="1"/>
    <xf numFmtId="0" fontId="6" fillId="0" borderId="8" xfId="0" applyFont="1" applyFill="1" applyBorder="1" applyAlignment="1">
      <alignment horizontal="right" wrapText="1"/>
    </xf>
    <xf numFmtId="4" fontId="10" fillId="0" borderId="7" xfId="0" applyNumberFormat="1" applyFont="1" applyFill="1" applyBorder="1"/>
    <xf numFmtId="0" fontId="10" fillId="0" borderId="37" xfId="0" applyFont="1" applyFill="1" applyBorder="1"/>
    <xf numFmtId="0" fontId="6" fillId="0" borderId="38" xfId="0" applyFont="1" applyFill="1" applyBorder="1" applyAlignment="1">
      <alignment horizontal="right" wrapText="1"/>
    </xf>
    <xf numFmtId="0" fontId="10" fillId="0" borderId="39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/>
    <xf numFmtId="0" fontId="1" fillId="0" borderId="2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11" fillId="0" borderId="0" xfId="0" applyFont="1" applyFill="1" applyBorder="1"/>
    <xf numFmtId="4" fontId="10" fillId="0" borderId="16" xfId="0" applyNumberFormat="1" applyFont="1" applyFill="1" applyBorder="1" applyAlignment="1">
      <alignment wrapText="1"/>
    </xf>
    <xf numFmtId="0" fontId="6" fillId="0" borderId="16" xfId="7" applyFont="1" applyFill="1" applyBorder="1" applyAlignment="1">
      <alignment horizontal="right" vertical="center" wrapText="1"/>
    </xf>
    <xf numFmtId="4" fontId="7" fillId="0" borderId="16" xfId="7" applyNumberFormat="1" applyFont="1" applyFill="1" applyBorder="1" applyAlignment="1"/>
    <xf numFmtId="4" fontId="4" fillId="0" borderId="1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0" fillId="0" borderId="16" xfId="7" applyNumberFormat="1" applyFont="1" applyFill="1" applyBorder="1" applyAlignment="1"/>
    <xf numFmtId="0" fontId="32" fillId="0" borderId="17" xfId="0" applyFont="1" applyFill="1" applyBorder="1" applyAlignment="1">
      <alignment vertical="center"/>
    </xf>
    <xf numFmtId="0" fontId="32" fillId="0" borderId="16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/>
    <xf numFmtId="0" fontId="12" fillId="0" borderId="0" xfId="0" applyFont="1" applyFill="1" applyBorder="1"/>
    <xf numFmtId="0" fontId="12" fillId="0" borderId="0" xfId="0" applyFont="1" applyFill="1"/>
    <xf numFmtId="0" fontId="6" fillId="0" borderId="16" xfId="7" applyFont="1" applyFill="1" applyBorder="1" applyAlignment="1">
      <alignment horizontal="center" vertical="center" wrapText="1"/>
    </xf>
    <xf numFmtId="4" fontId="6" fillId="0" borderId="16" xfId="7" applyNumberFormat="1" applyFont="1" applyFill="1" applyBorder="1" applyAlignment="1"/>
    <xf numFmtId="4" fontId="33" fillId="0" borderId="17" xfId="7" applyNumberFormat="1" applyFont="1" applyFill="1" applyBorder="1" applyAlignment="1">
      <alignment horizontal="right" vertical="top" wrapText="1"/>
    </xf>
    <xf numFmtId="4" fontId="33" fillId="0" borderId="16" xfId="7" applyNumberFormat="1" applyFont="1" applyFill="1" applyBorder="1" applyAlignment="1">
      <alignment horizontal="right" vertical="top" wrapText="1"/>
    </xf>
    <xf numFmtId="0" fontId="8" fillId="0" borderId="0" xfId="0" applyFont="1" applyFill="1" applyBorder="1"/>
    <xf numFmtId="4" fontId="6" fillId="0" borderId="16" xfId="0" applyNumberFormat="1" applyFont="1" applyFill="1" applyBorder="1" applyAlignment="1"/>
    <xf numFmtId="4" fontId="3" fillId="0" borderId="16" xfId="0" applyNumberFormat="1" applyFont="1" applyFill="1" applyBorder="1" applyAlignment="1"/>
    <xf numFmtId="4" fontId="3" fillId="0" borderId="22" xfId="0" applyNumberFormat="1" applyFont="1" applyFill="1" applyBorder="1" applyAlignment="1"/>
    <xf numFmtId="0" fontId="7" fillId="0" borderId="16" xfId="0" applyNumberFormat="1" applyFont="1" applyFill="1" applyBorder="1" applyAlignment="1">
      <alignment horizontal="right" vertical="top" wrapText="1" indent="1"/>
    </xf>
    <xf numFmtId="4" fontId="0" fillId="0" borderId="16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7" fillId="0" borderId="16" xfId="0" applyFont="1" applyFill="1" applyBorder="1"/>
    <xf numFmtId="0" fontId="0" fillId="0" borderId="9" xfId="0" applyFill="1" applyBorder="1" applyAlignment="1">
      <alignment vertical="center"/>
    </xf>
    <xf numFmtId="0" fontId="16" fillId="0" borderId="1" xfId="1" applyNumberFormat="1" applyFont="1" applyFill="1" applyBorder="1" applyAlignment="1">
      <alignment horizontal="right" vertical="top" wrapText="1" indent="1"/>
    </xf>
    <xf numFmtId="4" fontId="10" fillId="0" borderId="19" xfId="5" applyNumberFormat="1" applyFont="1" applyFill="1" applyBorder="1" applyAlignment="1"/>
    <xf numFmtId="4" fontId="7" fillId="0" borderId="1" xfId="0" applyNumberFormat="1" applyFont="1" applyFill="1" applyBorder="1" applyAlignment="1">
      <alignment wrapText="1"/>
    </xf>
    <xf numFmtId="0" fontId="10" fillId="0" borderId="1" xfId="0" applyNumberFormat="1" applyFont="1" applyFill="1" applyBorder="1" applyAlignment="1">
      <alignment vertical="top" wrapText="1"/>
    </xf>
    <xf numFmtId="0" fontId="10" fillId="0" borderId="22" xfId="0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right" vertical="top" wrapText="1"/>
    </xf>
    <xf numFmtId="2" fontId="10" fillId="0" borderId="1" xfId="0" applyNumberFormat="1" applyFont="1" applyFill="1" applyBorder="1" applyAlignment="1"/>
    <xf numFmtId="4" fontId="7" fillId="0" borderId="2" xfId="1" applyNumberFormat="1" applyFont="1" applyFill="1" applyBorder="1" applyAlignment="1"/>
    <xf numFmtId="0" fontId="16" fillId="0" borderId="1" xfId="0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/>
    <xf numFmtId="4" fontId="0" fillId="0" borderId="2" xfId="0" applyNumberFormat="1" applyFill="1" applyBorder="1" applyAlignment="1">
      <alignment horizontal="center" vertical="center"/>
    </xf>
    <xf numFmtId="4" fontId="35" fillId="0" borderId="2" xfId="0" applyNumberFormat="1" applyFont="1" applyFill="1" applyBorder="1" applyAlignment="1"/>
    <xf numFmtId="4" fontId="10" fillId="0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/>
    <xf numFmtId="4" fontId="3" fillId="0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0" fontId="16" fillId="0" borderId="15" xfId="0" applyFont="1" applyFill="1" applyBorder="1" applyAlignment="1">
      <alignment horizontal="right" vertical="top" wrapText="1"/>
    </xf>
    <xf numFmtId="4" fontId="3" fillId="0" borderId="15" xfId="0" applyNumberFormat="1" applyFont="1" applyFill="1" applyBorder="1" applyAlignment="1">
      <alignment vertical="center"/>
    </xf>
    <xf numFmtId="49" fontId="4" fillId="0" borderId="22" xfId="0" applyNumberFormat="1" applyFont="1" applyFill="1" applyBorder="1" applyAlignment="1">
      <alignment vertical="top" wrapText="1"/>
    </xf>
    <xf numFmtId="0" fontId="38" fillId="0" borderId="22" xfId="0" applyFont="1" applyFill="1" applyBorder="1" applyAlignment="1">
      <alignment wrapText="1"/>
    </xf>
    <xf numFmtId="0" fontId="4" fillId="0" borderId="22" xfId="0" applyNumberFormat="1" applyFont="1" applyFill="1" applyBorder="1" applyAlignment="1">
      <alignment horizontal="left" vertical="center" wrapText="1"/>
    </xf>
    <xf numFmtId="4" fontId="4" fillId="0" borderId="22" xfId="0" applyNumberFormat="1" applyFont="1" applyFill="1" applyBorder="1" applyAlignment="1">
      <alignment horizontal="center" vertical="center" wrapText="1"/>
    </xf>
    <xf numFmtId="0" fontId="40" fillId="0" borderId="22" xfId="0" applyNumberFormat="1" applyFont="1" applyFill="1" applyBorder="1" applyAlignment="1">
      <alignment horizontal="left" vertical="top" wrapText="1" indent="1"/>
    </xf>
    <xf numFmtId="0" fontId="41" fillId="0" borderId="22" xfId="0" applyNumberFormat="1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4" fontId="4" fillId="0" borderId="30" xfId="0" applyNumberFormat="1" applyFont="1" applyFill="1" applyBorder="1" applyAlignment="1">
      <alignment horizontal="center" vertical="center" wrapText="1"/>
    </xf>
    <xf numFmtId="4" fontId="27" fillId="0" borderId="12" xfId="0" applyNumberFormat="1" applyFont="1" applyFill="1" applyBorder="1" applyAlignment="1">
      <alignment wrapText="1"/>
    </xf>
    <xf numFmtId="4" fontId="27" fillId="0" borderId="1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34" xfId="0" applyNumberFormat="1" applyFont="1" applyFill="1" applyBorder="1" applyAlignment="1">
      <alignment vertical="top" wrapText="1"/>
    </xf>
    <xf numFmtId="4" fontId="6" fillId="0" borderId="11" xfId="0" applyNumberFormat="1" applyFont="1" applyFill="1" applyBorder="1" applyAlignment="1">
      <alignment vertical="center"/>
    </xf>
    <xf numFmtId="4" fontId="3" fillId="0" borderId="12" xfId="0" applyNumberFormat="1" applyFont="1" applyFill="1" applyBorder="1" applyAlignment="1"/>
    <xf numFmtId="0" fontId="16" fillId="0" borderId="40" xfId="0" applyNumberFormat="1" applyFont="1" applyFill="1" applyBorder="1" applyAlignment="1">
      <alignment horizontal="center" vertical="center" wrapText="1"/>
    </xf>
    <xf numFmtId="4" fontId="10" fillId="0" borderId="40" xfId="0" applyNumberFormat="1" applyFont="1" applyFill="1" applyBorder="1" applyAlignment="1">
      <alignment wrapText="1"/>
    </xf>
    <xf numFmtId="4" fontId="11" fillId="0" borderId="41" xfId="0" applyNumberFormat="1" applyFont="1" applyFill="1" applyBorder="1" applyAlignment="1">
      <alignment horizontal="center" vertical="center"/>
    </xf>
    <xf numFmtId="4" fontId="11" fillId="0" borderId="40" xfId="0" applyNumberFormat="1" applyFont="1" applyFill="1" applyBorder="1" applyAlignment="1">
      <alignment horizontal="center" vertical="center"/>
    </xf>
    <xf numFmtId="0" fontId="16" fillId="0" borderId="9" xfId="0" applyNumberFormat="1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wrapText="1"/>
    </xf>
    <xf numFmtId="4" fontId="11" fillId="0" borderId="4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6" fillId="0" borderId="11" xfId="0" applyNumberFormat="1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wrapText="1"/>
    </xf>
    <xf numFmtId="4" fontId="11" fillId="0" borderId="25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7" fillId="0" borderId="16" xfId="1" applyNumberFormat="1" applyFont="1" applyFill="1" applyBorder="1" applyAlignment="1"/>
    <xf numFmtId="4" fontId="7" fillId="0" borderId="16" xfId="0" applyNumberFormat="1" applyFont="1" applyFill="1" applyBorder="1" applyAlignment="1"/>
    <xf numFmtId="2" fontId="7" fillId="0" borderId="2" xfId="1" applyNumberFormat="1" applyFont="1" applyFill="1" applyBorder="1" applyAlignment="1"/>
    <xf numFmtId="4" fontId="7" fillId="0" borderId="1" xfId="0" applyNumberFormat="1" applyFont="1" applyFill="1" applyBorder="1" applyAlignment="1"/>
    <xf numFmtId="0" fontId="7" fillId="0" borderId="1" xfId="0" applyFont="1" applyFill="1" applyBorder="1" applyAlignment="1"/>
    <xf numFmtId="0" fontId="6" fillId="0" borderId="1" xfId="0" applyFont="1" applyFill="1" applyBorder="1" applyAlignment="1"/>
    <xf numFmtId="0" fontId="7" fillId="0" borderId="19" xfId="0" applyFont="1" applyFill="1" applyBorder="1" applyAlignment="1"/>
    <xf numFmtId="0" fontId="0" fillId="0" borderId="22" xfId="0" applyFill="1" applyBorder="1" applyAlignment="1"/>
    <xf numFmtId="4" fontId="5" fillId="0" borderId="22" xfId="0" applyNumberFormat="1" applyFont="1" applyFill="1" applyBorder="1" applyAlignment="1"/>
    <xf numFmtId="0" fontId="1" fillId="0" borderId="22" xfId="0" applyFont="1" applyFill="1" applyBorder="1" applyAlignment="1"/>
    <xf numFmtId="0" fontId="21" fillId="0" borderId="22" xfId="0" applyFont="1" applyFill="1" applyBorder="1" applyAlignment="1"/>
    <xf numFmtId="4" fontId="32" fillId="0" borderId="9" xfId="0" applyNumberFormat="1" applyFont="1" applyFill="1" applyBorder="1" applyAlignment="1"/>
    <xf numFmtId="4" fontId="1" fillId="0" borderId="9" xfId="0" applyNumberFormat="1" applyFont="1" applyFill="1" applyBorder="1" applyAlignment="1"/>
    <xf numFmtId="4" fontId="1" fillId="0" borderId="26" xfId="0" applyNumberFormat="1" applyFont="1" applyFill="1" applyBorder="1" applyAlignment="1"/>
    <xf numFmtId="4" fontId="1" fillId="0" borderId="22" xfId="0" applyNumberFormat="1" applyFont="1" applyFill="1" applyBorder="1" applyAlignment="1"/>
    <xf numFmtId="4" fontId="1" fillId="0" borderId="27" xfId="0" applyNumberFormat="1" applyFont="1" applyFill="1" applyBorder="1" applyAlignment="1"/>
    <xf numFmtId="4" fontId="32" fillId="0" borderId="22" xfId="0" applyNumberFormat="1" applyFont="1" applyFill="1" applyBorder="1" applyAlignment="1"/>
    <xf numFmtId="165" fontId="32" fillId="0" borderId="22" xfId="0" applyNumberFormat="1" applyFont="1" applyFill="1" applyBorder="1" applyAlignment="1"/>
    <xf numFmtId="2" fontId="32" fillId="0" borderId="22" xfId="0" applyNumberFormat="1" applyFont="1" applyFill="1" applyBorder="1" applyAlignment="1"/>
    <xf numFmtId="3" fontId="32" fillId="0" borderId="22" xfId="0" applyNumberFormat="1" applyFont="1" applyFill="1" applyBorder="1" applyAlignment="1"/>
    <xf numFmtId="4" fontId="1" fillId="0" borderId="30" xfId="0" applyNumberFormat="1" applyFont="1" applyFill="1" applyBorder="1" applyAlignment="1"/>
    <xf numFmtId="4" fontId="1" fillId="0" borderId="31" xfId="0" applyNumberFormat="1" applyFont="1" applyFill="1" applyBorder="1" applyAlignment="1"/>
    <xf numFmtId="4" fontId="7" fillId="0" borderId="12" xfId="1" applyNumberFormat="1" applyFont="1" applyFill="1" applyBorder="1" applyAlignment="1"/>
    <xf numFmtId="4" fontId="7" fillId="0" borderId="12" xfId="0" applyNumberFormat="1" applyFont="1" applyFill="1" applyBorder="1" applyAlignment="1"/>
    <xf numFmtId="0" fontId="0" fillId="0" borderId="34" xfId="0" applyFill="1" applyBorder="1" applyAlignment="1"/>
    <xf numFmtId="4" fontId="7" fillId="0" borderId="34" xfId="1" applyNumberFormat="1" applyFont="1" applyFill="1" applyBorder="1" applyAlignment="1"/>
    <xf numFmtId="4" fontId="1" fillId="0" borderId="6" xfId="0" applyNumberFormat="1" applyFont="1" applyFill="1" applyBorder="1" applyAlignment="1">
      <alignment wrapText="1"/>
    </xf>
    <xf numFmtId="4" fontId="7" fillId="0" borderId="6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4" fontId="30" fillId="0" borderId="1" xfId="0" applyNumberFormat="1" applyFont="1" applyFill="1" applyBorder="1" applyAlignment="1">
      <alignment wrapText="1"/>
    </xf>
    <xf numFmtId="4" fontId="4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/>
    <xf numFmtId="2" fontId="4" fillId="0" borderId="1" xfId="0" applyNumberFormat="1" applyFont="1" applyFill="1" applyBorder="1" applyAlignment="1">
      <alignment wrapText="1"/>
    </xf>
    <xf numFmtId="4" fontId="1" fillId="0" borderId="1" xfId="1" applyNumberFormat="1" applyFont="1" applyFill="1" applyBorder="1" applyAlignment="1">
      <alignment wrapText="1"/>
    </xf>
    <xf numFmtId="4" fontId="22" fillId="0" borderId="1" xfId="1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4" fontId="7" fillId="0" borderId="40" xfId="0" applyNumberFormat="1" applyFont="1" applyFill="1" applyBorder="1" applyAlignment="1">
      <alignment wrapText="1"/>
    </xf>
    <xf numFmtId="4" fontId="7" fillId="0" borderId="16" xfId="0" applyNumberFormat="1" applyFont="1" applyFill="1" applyBorder="1" applyAlignment="1">
      <alignment wrapText="1"/>
    </xf>
    <xf numFmtId="4" fontId="7" fillId="0" borderId="16" xfId="2" applyNumberFormat="1" applyFont="1" applyFill="1" applyBorder="1" applyAlignment="1"/>
    <xf numFmtId="4" fontId="10" fillId="0" borderId="16" xfId="1" applyNumberFormat="1" applyFont="1" applyFill="1" applyBorder="1" applyAlignment="1">
      <alignment wrapText="1"/>
    </xf>
    <xf numFmtId="1" fontId="7" fillId="0" borderId="16" xfId="0" applyNumberFormat="1" applyFont="1" applyFill="1" applyBorder="1" applyAlignment="1">
      <alignment wrapText="1"/>
    </xf>
    <xf numFmtId="4" fontId="7" fillId="0" borderId="16" xfId="1" applyNumberFormat="1" applyFont="1" applyFill="1" applyBorder="1" applyAlignment="1">
      <alignment wrapText="1"/>
    </xf>
    <xf numFmtId="2" fontId="7" fillId="0" borderId="16" xfId="0" applyNumberFormat="1" applyFont="1" applyFill="1" applyBorder="1" applyAlignment="1">
      <alignment wrapText="1"/>
    </xf>
    <xf numFmtId="166" fontId="7" fillId="0" borderId="16" xfId="0" applyNumberFormat="1" applyFont="1" applyFill="1" applyBorder="1" applyAlignment="1">
      <alignment wrapText="1"/>
    </xf>
    <xf numFmtId="2" fontId="7" fillId="0" borderId="16" xfId="0" applyNumberFormat="1" applyFont="1" applyFill="1" applyBorder="1" applyAlignment="1"/>
    <xf numFmtId="0" fontId="7" fillId="0" borderId="16" xfId="0" applyFont="1" applyFill="1" applyBorder="1" applyAlignment="1"/>
    <xf numFmtId="4" fontId="10" fillId="0" borderId="2" xfId="5" applyNumberFormat="1" applyFont="1" applyFill="1" applyBorder="1" applyAlignment="1">
      <alignment wrapText="1"/>
    </xf>
    <xf numFmtId="4" fontId="7" fillId="0" borderId="18" xfId="5" applyNumberFormat="1" applyFont="1" applyFill="1" applyBorder="1" applyAlignment="1"/>
    <xf numFmtId="4" fontId="10" fillId="0" borderId="2" xfId="5" applyNumberFormat="1" applyFont="1" applyFill="1" applyBorder="1" applyAlignment="1"/>
    <xf numFmtId="4" fontId="7" fillId="0" borderId="1" xfId="7" applyNumberFormat="1" applyFont="1" applyFill="1" applyBorder="1" applyAlignment="1"/>
    <xf numFmtId="4" fontId="10" fillId="0" borderId="1" xfId="7" applyNumberFormat="1" applyFont="1" applyFill="1" applyBorder="1" applyAlignment="1">
      <alignment wrapText="1"/>
    </xf>
    <xf numFmtId="4" fontId="7" fillId="0" borderId="1" xfId="7" applyNumberFormat="1" applyFont="1" applyFill="1" applyBorder="1" applyAlignment="1">
      <alignment wrapText="1"/>
    </xf>
    <xf numFmtId="2" fontId="7" fillId="0" borderId="1" xfId="0" applyNumberFormat="1" applyFont="1" applyFill="1" applyBorder="1" applyAlignment="1"/>
    <xf numFmtId="165" fontId="7" fillId="0" borderId="1" xfId="0" applyNumberFormat="1" applyFont="1" applyFill="1" applyBorder="1" applyAlignment="1"/>
    <xf numFmtId="4" fontId="7" fillId="0" borderId="14" xfId="0" applyNumberFormat="1" applyFont="1" applyFill="1" applyBorder="1" applyAlignment="1">
      <alignment wrapText="1"/>
    </xf>
    <xf numFmtId="166" fontId="7" fillId="0" borderId="1" xfId="0" applyNumberFormat="1" applyFont="1" applyFill="1" applyBorder="1" applyAlignment="1"/>
    <xf numFmtId="3" fontId="7" fillId="0" borderId="1" xfId="0" applyNumberFormat="1" applyFont="1" applyFill="1" applyBorder="1" applyAlignment="1"/>
    <xf numFmtId="4" fontId="7" fillId="0" borderId="2" xfId="0" applyNumberFormat="1" applyFont="1" applyFill="1" applyBorder="1" applyAlignment="1">
      <alignment wrapText="1"/>
    </xf>
    <xf numFmtId="4" fontId="7" fillId="0" borderId="20" xfId="0" applyNumberFormat="1" applyFont="1" applyFill="1" applyBorder="1" applyAlignment="1"/>
    <xf numFmtId="4" fontId="7" fillId="0" borderId="19" xfId="0" applyNumberFormat="1" applyFont="1" applyFill="1" applyBorder="1" applyAlignment="1"/>
    <xf numFmtId="4" fontId="7" fillId="0" borderId="0" xfId="0" applyNumberFormat="1" applyFont="1" applyFill="1" applyBorder="1" applyAlignment="1"/>
    <xf numFmtId="0" fontId="7" fillId="0" borderId="1" xfId="1" applyFont="1" applyFill="1" applyBorder="1" applyAlignment="1"/>
    <xf numFmtId="2" fontId="7" fillId="0" borderId="1" xfId="1" applyNumberFormat="1" applyFont="1" applyFill="1" applyBorder="1" applyAlignment="1"/>
    <xf numFmtId="4" fontId="28" fillId="0" borderId="22" xfId="0" applyNumberFormat="1" applyFont="1" applyFill="1" applyBorder="1" applyAlignment="1"/>
    <xf numFmtId="0" fontId="0" fillId="0" borderId="22" xfId="0" applyFill="1" applyBorder="1" applyAlignment="1">
      <alignment wrapText="1"/>
    </xf>
    <xf numFmtId="0" fontId="26" fillId="0" borderId="12" xfId="0" applyNumberFormat="1" applyFont="1" applyFill="1" applyBorder="1" applyAlignment="1">
      <alignment wrapText="1"/>
    </xf>
    <xf numFmtId="0" fontId="32" fillId="0" borderId="22" xfId="0" applyNumberFormat="1" applyFont="1" applyFill="1" applyBorder="1" applyAlignment="1"/>
    <xf numFmtId="4" fontId="4" fillId="0" borderId="22" xfId="0" applyNumberFormat="1" applyFont="1" applyFill="1" applyBorder="1" applyAlignment="1">
      <alignment wrapText="1"/>
    </xf>
    <xf numFmtId="0" fontId="32" fillId="0" borderId="30" xfId="0" applyNumberFormat="1" applyFont="1" applyFill="1" applyBorder="1" applyAlignment="1"/>
    <xf numFmtId="0" fontId="10" fillId="0" borderId="22" xfId="0" applyFont="1" applyFill="1" applyBorder="1" applyAlignment="1"/>
    <xf numFmtId="2" fontId="5" fillId="0" borderId="22" xfId="0" applyNumberFormat="1" applyFont="1" applyFill="1" applyBorder="1" applyAlignment="1"/>
    <xf numFmtId="0" fontId="7" fillId="0" borderId="22" xfId="0" applyNumberFormat="1" applyFont="1" applyFill="1" applyBorder="1" applyAlignment="1">
      <alignment wrapText="1"/>
    </xf>
    <xf numFmtId="14" fontId="4" fillId="0" borderId="22" xfId="0" applyNumberFormat="1" applyFont="1" applyFill="1" applyBorder="1" applyAlignment="1">
      <alignment wrapText="1"/>
    </xf>
    <xf numFmtId="0" fontId="1" fillId="0" borderId="30" xfId="0" applyFont="1" applyFill="1" applyBorder="1" applyAlignment="1"/>
    <xf numFmtId="4" fontId="4" fillId="0" borderId="30" xfId="0" applyNumberFormat="1" applyFont="1" applyFill="1" applyBorder="1" applyAlignment="1">
      <alignment wrapText="1"/>
    </xf>
    <xf numFmtId="4" fontId="28" fillId="0" borderId="34" xfId="0" applyNumberFormat="1" applyFont="1" applyFill="1" applyBorder="1" applyAlignment="1"/>
    <xf numFmtId="14" fontId="7" fillId="0" borderId="1" xfId="0" applyNumberFormat="1" applyFont="1" applyFill="1" applyBorder="1" applyAlignment="1">
      <alignment wrapText="1"/>
    </xf>
    <xf numFmtId="14" fontId="7" fillId="0" borderId="1" xfId="0" applyNumberFormat="1" applyFont="1" applyFill="1" applyBorder="1" applyAlignment="1"/>
    <xf numFmtId="14" fontId="7" fillId="0" borderId="22" xfId="0" applyNumberFormat="1" applyFont="1" applyFill="1" applyBorder="1" applyAlignment="1"/>
    <xf numFmtId="0" fontId="19" fillId="0" borderId="25" xfId="1" applyNumberFormat="1" applyFont="1" applyFill="1" applyBorder="1" applyAlignment="1">
      <alignment wrapText="1"/>
    </xf>
    <xf numFmtId="0" fontId="4" fillId="0" borderId="12" xfId="0" applyNumberFormat="1" applyFont="1" applyFill="1" applyBorder="1" applyAlignment="1">
      <alignment wrapText="1"/>
    </xf>
    <xf numFmtId="164" fontId="1" fillId="0" borderId="5" xfId="0" applyNumberFormat="1" applyFont="1" applyFill="1" applyBorder="1" applyAlignment="1">
      <alignment wrapText="1"/>
    </xf>
    <xf numFmtId="164" fontId="1" fillId="0" borderId="6" xfId="0" applyNumberFormat="1" applyFont="1" applyFill="1" applyBorder="1" applyAlignment="1">
      <alignment wrapText="1"/>
    </xf>
    <xf numFmtId="1" fontId="1" fillId="0" borderId="6" xfId="0" applyNumberFormat="1" applyFont="1" applyFill="1" applyBorder="1" applyAlignment="1">
      <alignment wrapText="1"/>
    </xf>
    <xf numFmtId="164" fontId="1" fillId="0" borderId="0" xfId="0" applyNumberFormat="1" applyFont="1" applyFill="1" applyBorder="1" applyAlignment="1"/>
    <xf numFmtId="1" fontId="1" fillId="0" borderId="0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7" fillId="0" borderId="9" xfId="0" applyNumberFormat="1" applyFont="1" applyFill="1" applyBorder="1" applyAlignment="1"/>
    <xf numFmtId="1" fontId="7" fillId="0" borderId="9" xfId="0" applyNumberFormat="1" applyFont="1" applyFill="1" applyBorder="1" applyAlignment="1">
      <alignment wrapText="1"/>
    </xf>
    <xf numFmtId="164" fontId="7" fillId="0" borderId="16" xfId="0" applyNumberFormat="1" applyFont="1" applyFill="1" applyBorder="1" applyAlignment="1"/>
    <xf numFmtId="1" fontId="7" fillId="0" borderId="16" xfId="0" applyNumberFormat="1" applyFont="1" applyFill="1" applyBorder="1" applyAlignment="1"/>
    <xf numFmtId="14" fontId="7" fillId="0" borderId="16" xfId="0" applyNumberFormat="1" applyFont="1" applyFill="1" applyBorder="1" applyAlignment="1"/>
    <xf numFmtId="14" fontId="7" fillId="0" borderId="16" xfId="0" applyNumberFormat="1" applyFont="1" applyFill="1" applyBorder="1" applyAlignment="1">
      <alignment wrapText="1"/>
    </xf>
    <xf numFmtId="0" fontId="7" fillId="0" borderId="16" xfId="0" applyFont="1" applyFill="1" applyBorder="1" applyAlignment="1">
      <alignment wrapText="1"/>
    </xf>
    <xf numFmtId="167" fontId="7" fillId="0" borderId="16" xfId="0" applyNumberFormat="1" applyFont="1" applyFill="1" applyBorder="1" applyAlignment="1">
      <alignment wrapText="1"/>
    </xf>
    <xf numFmtId="14" fontId="34" fillId="0" borderId="16" xfId="0" applyNumberFormat="1" applyFont="1" applyFill="1" applyBorder="1" applyAlignment="1">
      <alignment wrapText="1"/>
    </xf>
    <xf numFmtId="14" fontId="6" fillId="0" borderId="16" xfId="0" applyNumberFormat="1" applyFont="1" applyFill="1" applyBorder="1" applyAlignment="1"/>
    <xf numFmtId="164" fontId="7" fillId="0" borderId="16" xfId="0" applyNumberFormat="1" applyFont="1" applyFill="1" applyBorder="1" applyAlignment="1">
      <alignment wrapText="1"/>
    </xf>
    <xf numFmtId="0" fontId="7" fillId="0" borderId="16" xfId="0" applyNumberFormat="1" applyFont="1" applyFill="1" applyBorder="1" applyAlignment="1">
      <alignment wrapText="1"/>
    </xf>
    <xf numFmtId="0" fontId="7" fillId="0" borderId="16" xfId="0" applyNumberFormat="1" applyFont="1" applyFill="1" applyBorder="1" applyAlignment="1"/>
    <xf numFmtId="0" fontId="26" fillId="0" borderId="16" xfId="0" applyNumberFormat="1" applyFont="1" applyFill="1" applyBorder="1" applyAlignment="1">
      <alignment wrapText="1"/>
    </xf>
    <xf numFmtId="14" fontId="1" fillId="0" borderId="16" xfId="0" applyNumberFormat="1" applyFont="1" applyFill="1" applyBorder="1" applyAlignment="1"/>
    <xf numFmtId="0" fontId="26" fillId="0" borderId="16" xfId="0" applyNumberFormat="1" applyFont="1" applyFill="1" applyBorder="1" applyAlignment="1"/>
    <xf numFmtId="14" fontId="1" fillId="0" borderId="22" xfId="0" applyNumberFormat="1" applyFont="1" applyFill="1" applyBorder="1" applyAlignment="1"/>
    <xf numFmtId="0" fontId="26" fillId="0" borderId="22" xfId="0" applyNumberFormat="1" applyFont="1" applyFill="1" applyBorder="1" applyAlignment="1"/>
    <xf numFmtId="14" fontId="7" fillId="0" borderId="3" xfId="5" applyNumberFormat="1" applyFont="1" applyFill="1" applyBorder="1" applyAlignment="1"/>
    <xf numFmtId="14" fontId="7" fillId="0" borderId="2" xfId="5" applyNumberFormat="1" applyFont="1" applyFill="1" applyBorder="1" applyAlignment="1">
      <alignment wrapText="1"/>
    </xf>
    <xf numFmtId="0" fontId="7" fillId="0" borderId="2" xfId="5" applyNumberFormat="1" applyFont="1" applyFill="1" applyBorder="1" applyAlignment="1">
      <alignment wrapText="1"/>
    </xf>
    <xf numFmtId="14" fontId="7" fillId="0" borderId="2" xfId="5" applyNumberFormat="1" applyFont="1" applyFill="1" applyBorder="1" applyAlignment="1"/>
    <xf numFmtId="0" fontId="7" fillId="0" borderId="2" xfId="5" applyNumberFormat="1" applyFont="1" applyFill="1" applyBorder="1" applyAlignment="1"/>
    <xf numFmtId="164" fontId="7" fillId="0" borderId="1" xfId="0" applyNumberFormat="1" applyFont="1" applyFill="1" applyBorder="1" applyAlignment="1"/>
    <xf numFmtId="164" fontId="7" fillId="0" borderId="1" xfId="0" applyNumberFormat="1" applyFont="1" applyFill="1" applyBorder="1" applyAlignment="1">
      <alignment wrapText="1"/>
    </xf>
    <xf numFmtId="1" fontId="7" fillId="0" borderId="1" xfId="0" applyNumberFormat="1" applyFont="1" applyFill="1" applyBorder="1" applyAlignment="1">
      <alignment wrapText="1"/>
    </xf>
    <xf numFmtId="0" fontId="7" fillId="0" borderId="1" xfId="0" applyNumberFormat="1" applyFont="1" applyFill="1" applyBorder="1" applyAlignment="1">
      <alignment wrapText="1"/>
    </xf>
    <xf numFmtId="0" fontId="7" fillId="0" borderId="1" xfId="0" applyNumberFormat="1" applyFont="1" applyFill="1" applyBorder="1" applyAlignment="1"/>
    <xf numFmtId="167" fontId="10" fillId="0" borderId="1" xfId="0" applyNumberFormat="1" applyFont="1" applyFill="1" applyBorder="1" applyAlignment="1">
      <alignment wrapText="1"/>
    </xf>
    <xf numFmtId="167" fontId="7" fillId="0" borderId="1" xfId="0" applyNumberFormat="1" applyFont="1" applyFill="1" applyBorder="1" applyAlignment="1">
      <alignment wrapText="1"/>
    </xf>
    <xf numFmtId="0" fontId="7" fillId="0" borderId="14" xfId="0" applyNumberFormat="1" applyFont="1" applyFill="1" applyBorder="1" applyAlignment="1"/>
    <xf numFmtId="0" fontId="7" fillId="0" borderId="22" xfId="0" applyNumberFormat="1" applyFont="1" applyFill="1" applyBorder="1" applyAlignment="1"/>
    <xf numFmtId="0" fontId="7" fillId="0" borderId="1" xfId="0" applyFont="1" applyFill="1" applyBorder="1" applyAlignment="1">
      <alignment wrapText="1"/>
    </xf>
    <xf numFmtId="14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14" fontId="7" fillId="0" borderId="3" xfId="0" applyNumberFormat="1" applyFont="1" applyFill="1" applyBorder="1" applyAlignment="1"/>
    <xf numFmtId="14" fontId="7" fillId="0" borderId="2" xfId="0" applyNumberFormat="1" applyFont="1" applyFill="1" applyBorder="1" applyAlignment="1">
      <alignment wrapText="1"/>
    </xf>
    <xf numFmtId="0" fontId="7" fillId="0" borderId="2" xfId="0" applyNumberFormat="1" applyFont="1" applyFill="1" applyBorder="1" applyAlignment="1">
      <alignment wrapText="1"/>
    </xf>
    <xf numFmtId="14" fontId="7" fillId="0" borderId="2" xfId="0" applyNumberFormat="1" applyFont="1" applyFill="1" applyBorder="1" applyAlignment="1"/>
    <xf numFmtId="0" fontId="7" fillId="0" borderId="2" xfId="0" applyNumberFormat="1" applyFont="1" applyFill="1" applyBorder="1" applyAlignment="1"/>
    <xf numFmtId="1" fontId="7" fillId="0" borderId="1" xfId="0" applyNumberFormat="1" applyFont="1" applyFill="1" applyBorder="1" applyAlignment="1"/>
    <xf numFmtId="168" fontId="7" fillId="0" borderId="1" xfId="0" applyNumberFormat="1" applyFont="1" applyFill="1" applyBorder="1" applyAlignment="1"/>
    <xf numFmtId="14" fontId="7" fillId="0" borderId="19" xfId="0" applyNumberFormat="1" applyFont="1" applyFill="1" applyBorder="1" applyAlignment="1"/>
    <xf numFmtId="0" fontId="7" fillId="0" borderId="19" xfId="0" applyNumberFormat="1" applyFont="1" applyFill="1" applyBorder="1" applyAlignment="1"/>
    <xf numFmtId="14" fontId="7" fillId="0" borderId="22" xfId="0" applyNumberFormat="1" applyFont="1" applyFill="1" applyBorder="1" applyAlignment="1">
      <alignment wrapText="1"/>
    </xf>
    <xf numFmtId="0" fontId="26" fillId="0" borderId="22" xfId="0" applyNumberFormat="1" applyFont="1" applyFill="1" applyBorder="1" applyAlignment="1">
      <alignment wrapText="1"/>
    </xf>
    <xf numFmtId="14" fontId="5" fillId="0" borderId="22" xfId="0" applyNumberFormat="1" applyFont="1" applyFill="1" applyBorder="1" applyAlignment="1"/>
    <xf numFmtId="14" fontId="0" fillId="0" borderId="22" xfId="0" applyNumberFormat="1" applyFill="1" applyBorder="1" applyAlignment="1">
      <alignment wrapText="1"/>
    </xf>
    <xf numFmtId="14" fontId="7" fillId="0" borderId="12" xfId="0" applyNumberFormat="1" applyFont="1" applyFill="1" applyBorder="1" applyAlignment="1"/>
    <xf numFmtId="14" fontId="7" fillId="0" borderId="12" xfId="0" applyNumberFormat="1" applyFont="1" applyFill="1" applyBorder="1" applyAlignment="1">
      <alignment wrapText="1"/>
    </xf>
    <xf numFmtId="0" fontId="39" fillId="0" borderId="28" xfId="2" applyNumberFormat="1" applyFont="1" applyFill="1" applyBorder="1" applyAlignment="1">
      <alignment wrapText="1"/>
    </xf>
    <xf numFmtId="1" fontId="26" fillId="0" borderId="22" xfId="0" applyNumberFormat="1" applyFont="1" applyFill="1" applyBorder="1" applyAlignment="1"/>
    <xf numFmtId="1" fontId="1" fillId="0" borderId="22" xfId="0" applyNumberFormat="1" applyFont="1" applyFill="1" applyBorder="1" applyAlignment="1"/>
    <xf numFmtId="167" fontId="1" fillId="0" borderId="22" xfId="0" applyNumberFormat="1" applyFont="1" applyFill="1" applyBorder="1" applyAlignment="1"/>
    <xf numFmtId="0" fontId="9" fillId="0" borderId="28" xfId="2" applyNumberFormat="1" applyFont="1" applyFill="1" applyBorder="1" applyAlignment="1">
      <alignment wrapText="1"/>
    </xf>
    <xf numFmtId="14" fontId="9" fillId="0" borderId="28" xfId="2" applyNumberFormat="1" applyFont="1" applyFill="1" applyBorder="1" applyAlignment="1">
      <alignment wrapText="1"/>
    </xf>
    <xf numFmtId="167" fontId="1" fillId="0" borderId="30" xfId="0" applyNumberFormat="1" applyFont="1" applyFill="1" applyBorder="1" applyAlignment="1"/>
    <xf numFmtId="14" fontId="39" fillId="0" borderId="28" xfId="2" applyNumberFormat="1" applyFont="1" applyFill="1" applyBorder="1" applyAlignment="1">
      <alignment wrapText="1"/>
    </xf>
    <xf numFmtId="0" fontId="39" fillId="0" borderId="32" xfId="2" applyNumberFormat="1" applyFont="1" applyFill="1" applyBorder="1" applyAlignment="1">
      <alignment wrapText="1"/>
    </xf>
    <xf numFmtId="14" fontId="7" fillId="0" borderId="30" xfId="0" applyNumberFormat="1" applyFont="1" applyFill="1" applyBorder="1" applyAlignment="1">
      <alignment wrapText="1"/>
    </xf>
    <xf numFmtId="164" fontId="10" fillId="0" borderId="12" xfId="0" applyNumberFormat="1" applyFont="1" applyFill="1" applyBorder="1" applyAlignment="1"/>
    <xf numFmtId="1" fontId="10" fillId="0" borderId="12" xfId="0" applyNumberFormat="1" applyFont="1" applyFill="1" applyBorder="1" applyAlignment="1"/>
    <xf numFmtId="164" fontId="10" fillId="0" borderId="34" xfId="0" applyNumberFormat="1" applyFont="1" applyFill="1" applyBorder="1" applyAlignment="1"/>
    <xf numFmtId="1" fontId="10" fillId="0" borderId="34" xfId="0" applyNumberFormat="1" applyFont="1" applyFill="1" applyBorder="1" applyAlignment="1"/>
    <xf numFmtId="0" fontId="4" fillId="0" borderId="22" xfId="0" applyNumberFormat="1" applyFont="1" applyFill="1" applyBorder="1" applyAlignment="1">
      <alignment wrapText="1"/>
    </xf>
    <xf numFmtId="14" fontId="5" fillId="0" borderId="22" xfId="0" applyNumberFormat="1" applyFont="1" applyFill="1" applyBorder="1" applyAlignment="1">
      <alignment wrapText="1"/>
    </xf>
    <xf numFmtId="14" fontId="4" fillId="0" borderId="30" xfId="0" applyNumberFormat="1" applyFont="1" applyFill="1" applyBorder="1" applyAlignment="1">
      <alignment wrapText="1"/>
    </xf>
    <xf numFmtId="0" fontId="4" fillId="0" borderId="30" xfId="0" applyNumberFormat="1" applyFont="1" applyFill="1" applyBorder="1" applyAlignment="1">
      <alignment wrapText="1"/>
    </xf>
    <xf numFmtId="0" fontId="27" fillId="0" borderId="12" xfId="0" applyFont="1" applyFill="1" applyBorder="1" applyAlignment="1">
      <alignment wrapText="1"/>
    </xf>
    <xf numFmtId="0" fontId="10" fillId="0" borderId="12" xfId="0" applyNumberFormat="1" applyFont="1" applyFill="1" applyBorder="1" applyAlignment="1">
      <alignment wrapText="1"/>
    </xf>
    <xf numFmtId="0" fontId="27" fillId="0" borderId="12" xfId="0" applyNumberFormat="1" applyFont="1" applyFill="1" applyBorder="1" applyAlignment="1">
      <alignment wrapText="1"/>
    </xf>
    <xf numFmtId="0" fontId="39" fillId="0" borderId="34" xfId="2" applyNumberFormat="1" applyFont="1" applyFill="1" applyBorder="1" applyAlignment="1"/>
    <xf numFmtId="14" fontId="39" fillId="0" borderId="34" xfId="2" applyNumberFormat="1" applyFont="1" applyFill="1" applyBorder="1" applyAlignment="1"/>
    <xf numFmtId="0" fontId="26" fillId="0" borderId="34" xfId="0" applyNumberFormat="1" applyFont="1" applyFill="1" applyBorder="1" applyAlignment="1">
      <alignment wrapText="1"/>
    </xf>
    <xf numFmtId="0" fontId="26" fillId="0" borderId="12" xfId="0" applyNumberFormat="1" applyFont="1" applyFill="1" applyBorder="1" applyAlignment="1"/>
    <xf numFmtId="164" fontId="10" fillId="0" borderId="7" xfId="0" applyNumberFormat="1" applyFont="1" applyFill="1" applyBorder="1" applyAlignment="1"/>
    <xf numFmtId="1" fontId="10" fillId="0" borderId="7" xfId="0" applyNumberFormat="1" applyFont="1" applyFill="1" applyBorder="1" applyAlignment="1"/>
    <xf numFmtId="164" fontId="10" fillId="0" borderId="0" xfId="0" applyNumberFormat="1" applyFont="1" applyFill="1" applyBorder="1" applyAlignment="1"/>
    <xf numFmtId="1" fontId="10" fillId="0" borderId="0" xfId="0" applyNumberFormat="1" applyFont="1" applyFill="1" applyBorder="1" applyAlignment="1"/>
    <xf numFmtId="0" fontId="16" fillId="0" borderId="43" xfId="0" applyFont="1" applyFill="1" applyBorder="1" applyAlignment="1">
      <alignment horizontal="right" wrapText="1"/>
    </xf>
    <xf numFmtId="0" fontId="1" fillId="0" borderId="44" xfId="0" applyNumberFormat="1" applyFont="1" applyFill="1" applyBorder="1" applyAlignment="1">
      <alignment wrapText="1"/>
    </xf>
    <xf numFmtId="1" fontId="1" fillId="0" borderId="44" xfId="0" applyNumberFormat="1" applyFont="1" applyFill="1" applyBorder="1" applyAlignment="1">
      <alignment wrapText="1"/>
    </xf>
    <xf numFmtId="0" fontId="1" fillId="0" borderId="44" xfId="0" applyFont="1" applyFill="1" applyBorder="1" applyAlignment="1">
      <alignment wrapText="1"/>
    </xf>
    <xf numFmtId="0" fontId="10" fillId="0" borderId="44" xfId="0" applyFont="1" applyFill="1" applyBorder="1" applyAlignment="1">
      <alignment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right" wrapText="1"/>
    </xf>
    <xf numFmtId="0" fontId="1" fillId="0" borderId="22" xfId="0" applyNumberFormat="1" applyFont="1" applyFill="1" applyBorder="1" applyAlignment="1">
      <alignment wrapText="1"/>
    </xf>
    <xf numFmtId="1" fontId="1" fillId="0" borderId="22" xfId="0" applyNumberFormat="1" applyFont="1" applyFill="1" applyBorder="1" applyAlignment="1">
      <alignment wrapText="1"/>
    </xf>
    <xf numFmtId="0" fontId="1" fillId="0" borderId="22" xfId="0" applyFont="1" applyFill="1" applyBorder="1" applyAlignment="1">
      <alignment wrapText="1"/>
    </xf>
    <xf numFmtId="0" fontId="10" fillId="0" borderId="22" xfId="0" applyFont="1" applyFill="1" applyBorder="1" applyAlignment="1">
      <alignment wrapText="1"/>
    </xf>
    <xf numFmtId="0" fontId="7" fillId="0" borderId="22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right" wrapText="1"/>
    </xf>
    <xf numFmtId="164" fontId="1" fillId="0" borderId="22" xfId="0" applyNumberFormat="1" applyFont="1" applyFill="1" applyBorder="1" applyAlignment="1"/>
    <xf numFmtId="164" fontId="1" fillId="0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 wrapText="1"/>
    </xf>
    <xf numFmtId="164" fontId="7" fillId="0" borderId="22" xfId="0" applyNumberFormat="1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center" vertical="center" wrapText="1"/>
    </xf>
    <xf numFmtId="1" fontId="1" fillId="2" borderId="22" xfId="0" applyNumberFormat="1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right" vertical="top" wrapText="1"/>
    </xf>
    <xf numFmtId="14" fontId="7" fillId="0" borderId="3" xfId="0" applyNumberFormat="1" applyFont="1" applyFill="1" applyBorder="1" applyAlignment="1"/>
    <xf numFmtId="14" fontId="7" fillId="0" borderId="2" xfId="0" applyNumberFormat="1" applyFont="1" applyFill="1" applyBorder="1" applyAlignment="1"/>
    <xf numFmtId="0" fontId="7" fillId="0" borderId="2" xfId="0" applyNumberFormat="1" applyFont="1" applyFill="1" applyBorder="1" applyAlignment="1"/>
    <xf numFmtId="4" fontId="7" fillId="0" borderId="2" xfId="0" applyNumberFormat="1" applyFont="1" applyFill="1" applyBorder="1" applyAlignment="1"/>
    <xf numFmtId="4" fontId="7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left" vertical="top" wrapText="1" indent="1"/>
    </xf>
    <xf numFmtId="0" fontId="4" fillId="0" borderId="23" xfId="0" applyNumberFormat="1" applyFont="1" applyFill="1" applyBorder="1" applyAlignment="1">
      <alignment horizontal="left" vertical="top" wrapText="1" indent="1"/>
    </xf>
    <xf numFmtId="0" fontId="4" fillId="0" borderId="24" xfId="0" applyNumberFormat="1" applyFont="1" applyFill="1" applyBorder="1" applyAlignment="1">
      <alignment horizontal="left" vertical="top" wrapText="1" indent="1"/>
    </xf>
    <xf numFmtId="168" fontId="7" fillId="0" borderId="2" xfId="0" applyNumberFormat="1" applyFont="1" applyFill="1" applyBorder="1" applyAlignment="1"/>
  </cellXfs>
  <cellStyles count="8">
    <cellStyle name="Excel Built-in Excel Built-in Excel Built-in Excel Built-in Excel Built-in Excel Built-in Excel Built-in Excel Built-in Excel Built-in Обычный_инвентаризация" xfId="6"/>
    <cellStyle name="Excel Built-in Normal" xfId="5"/>
    <cellStyle name="TableStyleLight1" xfId="4"/>
    <cellStyle name="Обычный" xfId="0" builtinId="0"/>
    <cellStyle name="Обычный 2" xfId="3"/>
    <cellStyle name="Обычный_инвентаризация" xfId="1"/>
    <cellStyle name="Обычный_Лист1" xfId="2"/>
    <cellStyle name="Пояснение" xfId="7" builtinId="5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CC8BD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O1792"/>
  <sheetViews>
    <sheetView tabSelected="1" topLeftCell="B1" zoomScale="120" zoomScaleNormal="120" zoomScaleSheetLayoutView="115" workbookViewId="0">
      <pane ySplit="7" topLeftCell="A8" activePane="bottomLeft" state="frozen"/>
      <selection pane="bottomLeft" activeCell="B1" sqref="B1:L6"/>
    </sheetView>
  </sheetViews>
  <sheetFormatPr defaultColWidth="11.33203125" defaultRowHeight="12" outlineLevelRow="1" x14ac:dyDescent="0.2"/>
  <cols>
    <col min="1" max="1" width="11.33203125" style="2"/>
    <col min="2" max="2" width="64.33203125" style="9" customWidth="1"/>
    <col min="3" max="4" width="19.5" style="322" customWidth="1"/>
    <col min="5" max="5" width="17.83203125" style="323" customWidth="1"/>
    <col min="6" max="6" width="23.6640625" style="149" customWidth="1"/>
    <col min="7" max="7" width="24.6640625" style="149" customWidth="1"/>
    <col min="8" max="8" width="25.33203125" style="149" customWidth="1"/>
    <col min="9" max="9" width="23.5" style="129" customWidth="1"/>
    <col min="10" max="10" width="24.33203125" style="129" customWidth="1"/>
    <col min="11" max="11" width="14.1640625" style="27" customWidth="1"/>
    <col min="12" max="12" width="16" style="2" customWidth="1"/>
    <col min="13" max="16384" width="11.33203125" style="2"/>
  </cols>
  <sheetData>
    <row r="1" spans="2:12" ht="12" customHeight="1" x14ac:dyDescent="0.2">
      <c r="B1" s="435" t="s">
        <v>470</v>
      </c>
      <c r="C1" s="436"/>
      <c r="D1" s="436"/>
      <c r="E1" s="436"/>
      <c r="F1" s="436"/>
      <c r="G1" s="436"/>
      <c r="H1" s="436"/>
      <c r="I1" s="436"/>
      <c r="J1" s="436"/>
      <c r="K1" s="436"/>
      <c r="L1" s="436"/>
    </row>
    <row r="2" spans="2:12" ht="12" customHeight="1" x14ac:dyDescent="0.2"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2:12" ht="12" customHeight="1" x14ac:dyDescent="0.2"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</row>
    <row r="4" spans="2:12" ht="12" customHeight="1" x14ac:dyDescent="0.2"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</row>
    <row r="5" spans="2:12" ht="12" customHeight="1" x14ac:dyDescent="0.2"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</row>
    <row r="6" spans="2:12" ht="25.5" customHeight="1" thickBot="1" x14ac:dyDescent="0.25">
      <c r="B6" s="436"/>
      <c r="C6" s="436"/>
      <c r="D6" s="436"/>
      <c r="E6" s="436"/>
      <c r="F6" s="436"/>
      <c r="G6" s="436"/>
      <c r="H6" s="436"/>
      <c r="I6" s="436"/>
      <c r="J6" s="436"/>
      <c r="K6" s="436"/>
      <c r="L6" s="436"/>
    </row>
    <row r="7" spans="2:12" s="158" customFormat="1" ht="55.5" customHeight="1" thickBot="1" x14ac:dyDescent="0.25">
      <c r="B7" s="13" t="s">
        <v>8</v>
      </c>
      <c r="C7" s="319" t="s">
        <v>9</v>
      </c>
      <c r="D7" s="320" t="s">
        <v>6</v>
      </c>
      <c r="E7" s="321" t="s">
        <v>5</v>
      </c>
      <c r="F7" s="264" t="s">
        <v>17</v>
      </c>
      <c r="G7" s="264" t="s">
        <v>16</v>
      </c>
      <c r="H7" s="264" t="s">
        <v>10</v>
      </c>
      <c r="I7" s="128" t="s">
        <v>11</v>
      </c>
      <c r="J7" s="265" t="s">
        <v>12</v>
      </c>
      <c r="K7" s="20" t="s">
        <v>13</v>
      </c>
      <c r="L7" s="30" t="s">
        <v>14</v>
      </c>
    </row>
    <row r="8" spans="2:12" s="158" customFormat="1" x14ac:dyDescent="0.2">
      <c r="B8" s="404">
        <v>1</v>
      </c>
      <c r="C8" s="405">
        <v>1</v>
      </c>
      <c r="D8" s="405">
        <v>2</v>
      </c>
      <c r="E8" s="406">
        <v>4</v>
      </c>
      <c r="F8" s="407">
        <v>6</v>
      </c>
      <c r="G8" s="407">
        <v>5</v>
      </c>
      <c r="H8" s="407">
        <v>7</v>
      </c>
      <c r="I8" s="408">
        <v>8</v>
      </c>
      <c r="J8" s="408">
        <v>9</v>
      </c>
      <c r="K8" s="409">
        <v>10</v>
      </c>
      <c r="L8" s="410">
        <v>11</v>
      </c>
    </row>
    <row r="9" spans="2:12" s="158" customFormat="1" x14ac:dyDescent="0.2">
      <c r="B9" s="411"/>
      <c r="C9" s="412"/>
      <c r="D9" s="412"/>
      <c r="E9" s="413"/>
      <c r="F9" s="414"/>
      <c r="G9" s="414"/>
      <c r="H9" s="414"/>
      <c r="I9" s="415"/>
      <c r="J9" s="415"/>
      <c r="K9" s="416"/>
      <c r="L9" s="416"/>
    </row>
    <row r="10" spans="2:12" ht="15" x14ac:dyDescent="0.2">
      <c r="B10" s="417" t="s">
        <v>566</v>
      </c>
      <c r="C10" s="418"/>
      <c r="D10" s="418"/>
      <c r="E10" s="377"/>
      <c r="F10" s="252"/>
      <c r="G10" s="252"/>
      <c r="H10" s="252"/>
      <c r="I10" s="126"/>
      <c r="J10" s="126"/>
      <c r="K10" s="94"/>
      <c r="L10" s="95"/>
    </row>
    <row r="11" spans="2:12" ht="24" outlineLevel="1" x14ac:dyDescent="0.2">
      <c r="B11" s="3" t="s">
        <v>66</v>
      </c>
      <c r="C11" s="419">
        <v>43069</v>
      </c>
      <c r="D11" s="419">
        <v>43496</v>
      </c>
      <c r="E11" s="424">
        <v>95</v>
      </c>
      <c r="F11" s="266">
        <v>462172.18</v>
      </c>
      <c r="G11" s="267">
        <v>1739515.45</v>
      </c>
      <c r="H11" s="266">
        <f>6817.04+20526.28</f>
        <v>27343.32</v>
      </c>
      <c r="I11" s="130">
        <f t="shared" ref="I11:I42" si="0">G11+F11+H11</f>
        <v>2229030.9499999997</v>
      </c>
      <c r="J11" s="130">
        <f t="shared" ref="J11:J74" si="1">I11</f>
        <v>2229030.9499999997</v>
      </c>
      <c r="K11" s="21"/>
      <c r="L11" s="31"/>
    </row>
    <row r="12" spans="2:12" ht="51.75" customHeight="1" outlineLevel="1" x14ac:dyDescent="0.2">
      <c r="B12" s="3" t="s">
        <v>471</v>
      </c>
      <c r="C12" s="419">
        <v>43434</v>
      </c>
      <c r="D12" s="419">
        <v>43830</v>
      </c>
      <c r="E12" s="424">
        <v>20</v>
      </c>
      <c r="F12" s="268">
        <v>1441943.32</v>
      </c>
      <c r="G12" s="269"/>
      <c r="H12" s="270">
        <v>17420.2</v>
      </c>
      <c r="I12" s="130">
        <f t="shared" si="0"/>
        <v>1459363.52</v>
      </c>
      <c r="J12" s="130">
        <f t="shared" si="1"/>
        <v>1459363.52</v>
      </c>
      <c r="K12" s="21"/>
      <c r="L12" s="31"/>
    </row>
    <row r="13" spans="2:12" ht="12.75" outlineLevel="1" x14ac:dyDescent="0.2">
      <c r="B13" s="6" t="s">
        <v>67</v>
      </c>
      <c r="C13" s="419">
        <v>42916</v>
      </c>
      <c r="D13" s="419">
        <v>43800</v>
      </c>
      <c r="E13" s="424">
        <v>40</v>
      </c>
      <c r="F13" s="271">
        <v>129281.25</v>
      </c>
      <c r="G13" s="269"/>
      <c r="H13" s="269">
        <v>143997.88</v>
      </c>
      <c r="I13" s="130">
        <f t="shared" si="0"/>
        <v>273279.13</v>
      </c>
      <c r="J13" s="130">
        <f t="shared" si="1"/>
        <v>273279.13</v>
      </c>
      <c r="K13" s="22"/>
      <c r="L13" s="1"/>
    </row>
    <row r="14" spans="2:12" ht="27" customHeight="1" outlineLevel="1" x14ac:dyDescent="0.2">
      <c r="B14" s="3" t="s">
        <v>226</v>
      </c>
      <c r="C14" s="419">
        <v>1980</v>
      </c>
      <c r="D14" s="419">
        <v>43830</v>
      </c>
      <c r="E14" s="424">
        <v>15</v>
      </c>
      <c r="F14" s="268">
        <v>799341.39</v>
      </c>
      <c r="G14" s="269"/>
      <c r="H14" s="269">
        <v>18704.37</v>
      </c>
      <c r="I14" s="130">
        <f t="shared" si="0"/>
        <v>818045.76</v>
      </c>
      <c r="J14" s="130">
        <f t="shared" si="1"/>
        <v>818045.76</v>
      </c>
      <c r="K14" s="4"/>
      <c r="L14" s="1"/>
    </row>
    <row r="15" spans="2:12" ht="27" customHeight="1" outlineLevel="1" x14ac:dyDescent="0.2">
      <c r="B15" s="3" t="s">
        <v>472</v>
      </c>
      <c r="C15" s="419">
        <v>43281</v>
      </c>
      <c r="D15" s="419">
        <v>43800</v>
      </c>
      <c r="E15" s="424">
        <v>10</v>
      </c>
      <c r="F15" s="267">
        <v>19193897.59</v>
      </c>
      <c r="G15" s="269"/>
      <c r="H15" s="268">
        <v>261589.84</v>
      </c>
      <c r="I15" s="130">
        <f t="shared" si="0"/>
        <v>19455487.43</v>
      </c>
      <c r="J15" s="130">
        <f t="shared" si="1"/>
        <v>19455487.43</v>
      </c>
      <c r="K15" s="4"/>
      <c r="L15" s="1"/>
    </row>
    <row r="16" spans="2:12" ht="12" customHeight="1" outlineLevel="1" x14ac:dyDescent="0.2">
      <c r="B16" s="3" t="s">
        <v>227</v>
      </c>
      <c r="C16" s="419">
        <v>43434</v>
      </c>
      <c r="D16" s="419">
        <v>43800</v>
      </c>
      <c r="E16" s="424">
        <v>10</v>
      </c>
      <c r="F16" s="268">
        <v>1211198.69</v>
      </c>
      <c r="G16" s="269"/>
      <c r="H16" s="269">
        <v>25855.439999999999</v>
      </c>
      <c r="I16" s="130">
        <f t="shared" si="0"/>
        <v>1237054.1299999999</v>
      </c>
      <c r="J16" s="130">
        <f t="shared" si="1"/>
        <v>1237054.1299999999</v>
      </c>
      <c r="K16" s="4"/>
      <c r="L16" s="1"/>
    </row>
    <row r="17" spans="2:12" ht="30.75" customHeight="1" outlineLevel="1" x14ac:dyDescent="0.2">
      <c r="B17" s="3" t="s">
        <v>473</v>
      </c>
      <c r="C17" s="419">
        <v>43281</v>
      </c>
      <c r="D17" s="419">
        <v>43800</v>
      </c>
      <c r="E17" s="424">
        <v>10</v>
      </c>
      <c r="F17" s="267">
        <v>2049905.18</v>
      </c>
      <c r="G17" s="267">
        <v>36894.559999999998</v>
      </c>
      <c r="H17" s="269">
        <v>190340.75</v>
      </c>
      <c r="I17" s="130">
        <f t="shared" si="0"/>
        <v>2277140.4900000002</v>
      </c>
      <c r="J17" s="130">
        <f t="shared" si="1"/>
        <v>2277140.4900000002</v>
      </c>
      <c r="K17" s="4"/>
      <c r="L17" s="1"/>
    </row>
    <row r="18" spans="2:12" ht="12" customHeight="1" outlineLevel="1" x14ac:dyDescent="0.2">
      <c r="B18" s="3" t="s">
        <v>228</v>
      </c>
      <c r="C18" s="419">
        <v>43404</v>
      </c>
      <c r="D18" s="419">
        <v>43496</v>
      </c>
      <c r="E18" s="424">
        <v>90</v>
      </c>
      <c r="F18" s="268">
        <v>682118.58</v>
      </c>
      <c r="G18" s="269"/>
      <c r="H18" s="269">
        <v>16054.24</v>
      </c>
      <c r="I18" s="130">
        <f t="shared" si="0"/>
        <v>698172.82</v>
      </c>
      <c r="J18" s="130">
        <f t="shared" si="1"/>
        <v>698172.82</v>
      </c>
      <c r="K18" s="4"/>
      <c r="L18" s="1"/>
    </row>
    <row r="19" spans="2:12" ht="12" customHeight="1" outlineLevel="1" x14ac:dyDescent="0.2">
      <c r="B19" s="3" t="s">
        <v>474</v>
      </c>
      <c r="C19" s="419">
        <v>43281</v>
      </c>
      <c r="D19" s="419">
        <v>43800</v>
      </c>
      <c r="E19" s="424">
        <v>10</v>
      </c>
      <c r="F19" s="267">
        <v>443095.9</v>
      </c>
      <c r="G19" s="269"/>
      <c r="H19" s="267">
        <v>5538.88</v>
      </c>
      <c r="I19" s="130">
        <f t="shared" si="0"/>
        <v>448634.78</v>
      </c>
      <c r="J19" s="130">
        <f t="shared" si="1"/>
        <v>448634.78</v>
      </c>
      <c r="K19" s="4"/>
      <c r="L19" s="1"/>
    </row>
    <row r="20" spans="2:12" ht="30.75" customHeight="1" outlineLevel="1" x14ac:dyDescent="0.2">
      <c r="B20" s="3" t="s">
        <v>475</v>
      </c>
      <c r="C20" s="419">
        <v>43434</v>
      </c>
      <c r="D20" s="419">
        <v>43800</v>
      </c>
      <c r="E20" s="424">
        <v>20</v>
      </c>
      <c r="F20" s="267">
        <v>443095.9</v>
      </c>
      <c r="G20" s="269"/>
      <c r="H20" s="267">
        <v>5538.89</v>
      </c>
      <c r="I20" s="130">
        <f t="shared" si="0"/>
        <v>448634.79000000004</v>
      </c>
      <c r="J20" s="130">
        <f t="shared" si="1"/>
        <v>448634.79000000004</v>
      </c>
      <c r="K20" s="4"/>
      <c r="L20" s="1"/>
    </row>
    <row r="21" spans="2:12" ht="12" customHeight="1" outlineLevel="1" x14ac:dyDescent="0.2">
      <c r="B21" s="3" t="s">
        <v>476</v>
      </c>
      <c r="C21" s="419">
        <v>43434</v>
      </c>
      <c r="D21" s="419">
        <v>43800</v>
      </c>
      <c r="E21" s="424">
        <v>20</v>
      </c>
      <c r="F21" s="267">
        <v>443095.9</v>
      </c>
      <c r="G21" s="269"/>
      <c r="H21" s="267">
        <v>5538.88</v>
      </c>
      <c r="I21" s="130">
        <f t="shared" si="0"/>
        <v>448634.78</v>
      </c>
      <c r="J21" s="130">
        <f t="shared" si="1"/>
        <v>448634.78</v>
      </c>
      <c r="K21" s="4"/>
      <c r="L21" s="1"/>
    </row>
    <row r="22" spans="2:12" ht="12" customHeight="1" outlineLevel="1" x14ac:dyDescent="0.2">
      <c r="B22" s="3" t="s">
        <v>477</v>
      </c>
      <c r="C22" s="419">
        <v>43434</v>
      </c>
      <c r="D22" s="419">
        <v>43800</v>
      </c>
      <c r="E22" s="424">
        <v>20</v>
      </c>
      <c r="F22" s="267">
        <v>443095.9</v>
      </c>
      <c r="G22" s="269"/>
      <c r="H22" s="267">
        <v>5538.88</v>
      </c>
      <c r="I22" s="130">
        <f t="shared" si="0"/>
        <v>448634.78</v>
      </c>
      <c r="J22" s="130">
        <f t="shared" si="1"/>
        <v>448634.78</v>
      </c>
      <c r="K22" s="4"/>
      <c r="L22" s="1"/>
    </row>
    <row r="23" spans="2:12" ht="12" customHeight="1" outlineLevel="1" x14ac:dyDescent="0.2">
      <c r="B23" s="3" t="s">
        <v>478</v>
      </c>
      <c r="C23" s="419">
        <v>43434</v>
      </c>
      <c r="D23" s="419">
        <v>43800</v>
      </c>
      <c r="E23" s="424">
        <v>20</v>
      </c>
      <c r="F23" s="267">
        <v>443095.9</v>
      </c>
      <c r="G23" s="269"/>
      <c r="H23" s="267">
        <v>5538.88</v>
      </c>
      <c r="I23" s="130">
        <f t="shared" si="0"/>
        <v>448634.78</v>
      </c>
      <c r="J23" s="130">
        <f t="shared" si="1"/>
        <v>448634.78</v>
      </c>
      <c r="K23" s="4"/>
      <c r="L23" s="1"/>
    </row>
    <row r="24" spans="2:12" ht="12" customHeight="1" outlineLevel="1" x14ac:dyDescent="0.2">
      <c r="B24" s="3" t="s">
        <v>479</v>
      </c>
      <c r="C24" s="419">
        <v>43434</v>
      </c>
      <c r="D24" s="419">
        <v>43800</v>
      </c>
      <c r="E24" s="424">
        <v>20</v>
      </c>
      <c r="F24" s="267">
        <v>443095.9</v>
      </c>
      <c r="G24" s="269"/>
      <c r="H24" s="267">
        <v>5538.89</v>
      </c>
      <c r="I24" s="130">
        <f t="shared" si="0"/>
        <v>448634.79000000004</v>
      </c>
      <c r="J24" s="130">
        <f t="shared" si="1"/>
        <v>448634.79000000004</v>
      </c>
      <c r="K24" s="4"/>
      <c r="L24" s="1"/>
    </row>
    <row r="25" spans="2:12" ht="12" customHeight="1" outlineLevel="1" x14ac:dyDescent="0.2">
      <c r="B25" s="3" t="s">
        <v>480</v>
      </c>
      <c r="C25" s="419">
        <v>43434</v>
      </c>
      <c r="D25" s="419">
        <v>43800</v>
      </c>
      <c r="E25" s="424">
        <v>20</v>
      </c>
      <c r="F25" s="267">
        <v>443095.9</v>
      </c>
      <c r="G25" s="269"/>
      <c r="H25" s="267">
        <v>5538.88</v>
      </c>
      <c r="I25" s="130">
        <f t="shared" si="0"/>
        <v>448634.78</v>
      </c>
      <c r="J25" s="130">
        <f t="shared" si="1"/>
        <v>448634.78</v>
      </c>
      <c r="K25" s="4"/>
      <c r="L25" s="1"/>
    </row>
    <row r="26" spans="2:12" ht="12" customHeight="1" outlineLevel="1" x14ac:dyDescent="0.2">
      <c r="B26" s="3" t="s">
        <v>481</v>
      </c>
      <c r="C26" s="419">
        <v>43434</v>
      </c>
      <c r="D26" s="419">
        <v>43800</v>
      </c>
      <c r="E26" s="424">
        <v>20</v>
      </c>
      <c r="F26" s="267">
        <v>443095.9</v>
      </c>
      <c r="G26" s="269"/>
      <c r="H26" s="267">
        <v>5538.89</v>
      </c>
      <c r="I26" s="130">
        <f t="shared" si="0"/>
        <v>448634.79000000004</v>
      </c>
      <c r="J26" s="130">
        <f t="shared" si="1"/>
        <v>448634.79000000004</v>
      </c>
      <c r="K26" s="4"/>
      <c r="L26" s="1"/>
    </row>
    <row r="27" spans="2:12" ht="12" customHeight="1" outlineLevel="1" x14ac:dyDescent="0.2">
      <c r="B27" s="3" t="s">
        <v>482</v>
      </c>
      <c r="C27" s="419">
        <v>43434</v>
      </c>
      <c r="D27" s="419">
        <v>43800</v>
      </c>
      <c r="E27" s="424">
        <v>20</v>
      </c>
      <c r="F27" s="267">
        <v>443095.9</v>
      </c>
      <c r="G27" s="269"/>
      <c r="H27" s="267">
        <v>5538.88</v>
      </c>
      <c r="I27" s="130">
        <f t="shared" si="0"/>
        <v>448634.78</v>
      </c>
      <c r="J27" s="130">
        <f t="shared" si="1"/>
        <v>448634.78</v>
      </c>
      <c r="K27" s="4"/>
      <c r="L27" s="1"/>
    </row>
    <row r="28" spans="2:12" ht="12" customHeight="1" outlineLevel="1" x14ac:dyDescent="0.2">
      <c r="B28" s="3" t="s">
        <v>483</v>
      </c>
      <c r="C28" s="419">
        <v>43434</v>
      </c>
      <c r="D28" s="419">
        <v>43800</v>
      </c>
      <c r="E28" s="424">
        <v>20</v>
      </c>
      <c r="F28" s="267">
        <v>443095.9</v>
      </c>
      <c r="G28" s="269"/>
      <c r="H28" s="267">
        <v>5538.88</v>
      </c>
      <c r="I28" s="130">
        <f t="shared" si="0"/>
        <v>448634.78</v>
      </c>
      <c r="J28" s="130">
        <f t="shared" si="1"/>
        <v>448634.78</v>
      </c>
      <c r="K28" s="4"/>
      <c r="L28" s="1"/>
    </row>
    <row r="29" spans="2:12" ht="12" customHeight="1" outlineLevel="1" x14ac:dyDescent="0.2">
      <c r="B29" s="3" t="s">
        <v>484</v>
      </c>
      <c r="C29" s="419">
        <v>43434</v>
      </c>
      <c r="D29" s="419">
        <v>43800</v>
      </c>
      <c r="E29" s="424">
        <v>20</v>
      </c>
      <c r="F29" s="267">
        <v>443095.9</v>
      </c>
      <c r="G29" s="269"/>
      <c r="H29" s="267">
        <v>5538.88</v>
      </c>
      <c r="I29" s="130">
        <f t="shared" si="0"/>
        <v>448634.78</v>
      </c>
      <c r="J29" s="130">
        <f t="shared" si="1"/>
        <v>448634.78</v>
      </c>
      <c r="K29" s="4"/>
      <c r="L29" s="1"/>
    </row>
    <row r="30" spans="2:12" ht="12" customHeight="1" outlineLevel="1" x14ac:dyDescent="0.2">
      <c r="B30" s="3" t="s">
        <v>485</v>
      </c>
      <c r="C30" s="419">
        <v>43434</v>
      </c>
      <c r="D30" s="419">
        <v>43800</v>
      </c>
      <c r="E30" s="424">
        <v>20</v>
      </c>
      <c r="F30" s="267">
        <v>443095.9</v>
      </c>
      <c r="G30" s="269"/>
      <c r="H30" s="267">
        <v>5538.88</v>
      </c>
      <c r="I30" s="130">
        <f t="shared" si="0"/>
        <v>448634.78</v>
      </c>
      <c r="J30" s="130">
        <f t="shared" si="1"/>
        <v>448634.78</v>
      </c>
      <c r="K30" s="4"/>
      <c r="L30" s="1"/>
    </row>
    <row r="31" spans="2:12" ht="12" customHeight="1" outlineLevel="1" x14ac:dyDescent="0.2">
      <c r="B31" s="3" t="s">
        <v>486</v>
      </c>
      <c r="C31" s="419">
        <v>43434</v>
      </c>
      <c r="D31" s="419">
        <v>43800</v>
      </c>
      <c r="E31" s="424">
        <v>20</v>
      </c>
      <c r="F31" s="267">
        <v>443095.9</v>
      </c>
      <c r="G31" s="269"/>
      <c r="H31" s="267">
        <v>5538.88</v>
      </c>
      <c r="I31" s="130">
        <f t="shared" si="0"/>
        <v>448634.78</v>
      </c>
      <c r="J31" s="130">
        <f t="shared" si="1"/>
        <v>448634.78</v>
      </c>
      <c r="K31" s="4"/>
      <c r="L31" s="1"/>
    </row>
    <row r="32" spans="2:12" ht="12" customHeight="1" outlineLevel="1" x14ac:dyDescent="0.2">
      <c r="B32" s="3" t="s">
        <v>487</v>
      </c>
      <c r="C32" s="419">
        <v>43434</v>
      </c>
      <c r="D32" s="419">
        <v>43800</v>
      </c>
      <c r="E32" s="424">
        <v>20</v>
      </c>
      <c r="F32" s="267">
        <v>443095.9</v>
      </c>
      <c r="G32" s="269"/>
      <c r="H32" s="267">
        <v>5538.88</v>
      </c>
      <c r="I32" s="130">
        <f t="shared" si="0"/>
        <v>448634.78</v>
      </c>
      <c r="J32" s="130">
        <f t="shared" si="1"/>
        <v>448634.78</v>
      </c>
      <c r="K32" s="4"/>
      <c r="L32" s="1"/>
    </row>
    <row r="33" spans="2:12" ht="12" customHeight="1" outlineLevel="1" x14ac:dyDescent="0.2">
      <c r="B33" s="3" t="s">
        <v>488</v>
      </c>
      <c r="C33" s="419">
        <v>43434</v>
      </c>
      <c r="D33" s="419">
        <v>43800</v>
      </c>
      <c r="E33" s="424">
        <v>20</v>
      </c>
      <c r="F33" s="267">
        <v>443095.9</v>
      </c>
      <c r="G33" s="269"/>
      <c r="H33" s="267">
        <v>5538.88</v>
      </c>
      <c r="I33" s="130">
        <f t="shared" si="0"/>
        <v>448634.78</v>
      </c>
      <c r="J33" s="130">
        <f t="shared" si="1"/>
        <v>448634.78</v>
      </c>
      <c r="K33" s="4"/>
      <c r="L33" s="1"/>
    </row>
    <row r="34" spans="2:12" ht="22.5" customHeight="1" outlineLevel="1" x14ac:dyDescent="0.2">
      <c r="B34" s="3" t="s">
        <v>489</v>
      </c>
      <c r="C34" s="419">
        <v>43434</v>
      </c>
      <c r="D34" s="419">
        <v>43800</v>
      </c>
      <c r="E34" s="424">
        <v>20</v>
      </c>
      <c r="F34" s="267">
        <v>443095.9</v>
      </c>
      <c r="G34" s="269"/>
      <c r="H34" s="267">
        <v>5538.89</v>
      </c>
      <c r="I34" s="130">
        <f t="shared" si="0"/>
        <v>448634.79000000004</v>
      </c>
      <c r="J34" s="130">
        <f t="shared" si="1"/>
        <v>448634.79000000004</v>
      </c>
      <c r="K34" s="4"/>
      <c r="L34" s="1"/>
    </row>
    <row r="35" spans="2:12" ht="29.25" customHeight="1" outlineLevel="1" x14ac:dyDescent="0.2">
      <c r="B35" s="3" t="s">
        <v>237</v>
      </c>
      <c r="C35" s="419">
        <v>43434</v>
      </c>
      <c r="D35" s="419">
        <v>43800</v>
      </c>
      <c r="E35" s="424">
        <v>20</v>
      </c>
      <c r="F35" s="268">
        <v>622295.93000000005</v>
      </c>
      <c r="G35" s="269"/>
      <c r="H35" s="269">
        <f>8585.12+593.75</f>
        <v>9178.8700000000008</v>
      </c>
      <c r="I35" s="130">
        <f t="shared" si="0"/>
        <v>631474.80000000005</v>
      </c>
      <c r="J35" s="130">
        <f t="shared" si="1"/>
        <v>631474.80000000005</v>
      </c>
      <c r="K35" s="4"/>
      <c r="L35" s="1"/>
    </row>
    <row r="36" spans="2:12" ht="29.25" customHeight="1" outlineLevel="1" x14ac:dyDescent="0.2">
      <c r="B36" s="3" t="s">
        <v>490</v>
      </c>
      <c r="C36" s="419">
        <v>43281</v>
      </c>
      <c r="D36" s="419">
        <v>43800</v>
      </c>
      <c r="E36" s="425">
        <v>20</v>
      </c>
      <c r="F36" s="267">
        <v>443095.9</v>
      </c>
      <c r="G36" s="269"/>
      <c r="H36" s="267">
        <v>5538.88</v>
      </c>
      <c r="I36" s="130">
        <f t="shared" si="0"/>
        <v>448634.78</v>
      </c>
      <c r="J36" s="130">
        <f t="shared" si="1"/>
        <v>448634.78</v>
      </c>
      <c r="K36" s="4"/>
      <c r="L36" s="1"/>
    </row>
    <row r="37" spans="2:12" ht="29.25" customHeight="1" outlineLevel="1" x14ac:dyDescent="0.2">
      <c r="B37" s="3" t="s">
        <v>491</v>
      </c>
      <c r="C37" s="419">
        <v>43434</v>
      </c>
      <c r="D37" s="419">
        <v>43800</v>
      </c>
      <c r="E37" s="424">
        <v>20</v>
      </c>
      <c r="F37" s="267">
        <v>443095.9</v>
      </c>
      <c r="G37" s="269"/>
      <c r="H37" s="267">
        <v>5538.88</v>
      </c>
      <c r="I37" s="130">
        <f t="shared" si="0"/>
        <v>448634.78</v>
      </c>
      <c r="J37" s="130">
        <f t="shared" si="1"/>
        <v>448634.78</v>
      </c>
      <c r="K37" s="4"/>
      <c r="L37" s="1"/>
    </row>
    <row r="38" spans="2:12" ht="29.25" customHeight="1" outlineLevel="1" x14ac:dyDescent="0.2">
      <c r="B38" s="3" t="s">
        <v>492</v>
      </c>
      <c r="C38" s="419">
        <v>43434</v>
      </c>
      <c r="D38" s="419">
        <v>43800</v>
      </c>
      <c r="E38" s="425">
        <v>20</v>
      </c>
      <c r="F38" s="267">
        <v>443095.9</v>
      </c>
      <c r="G38" s="269"/>
      <c r="H38" s="267">
        <v>5538.88</v>
      </c>
      <c r="I38" s="130">
        <f t="shared" si="0"/>
        <v>448634.78</v>
      </c>
      <c r="J38" s="130">
        <f t="shared" si="1"/>
        <v>448634.78</v>
      </c>
      <c r="K38" s="4"/>
      <c r="L38" s="1"/>
    </row>
    <row r="39" spans="2:12" ht="29.25" customHeight="1" outlineLevel="1" x14ac:dyDescent="0.2">
      <c r="B39" s="3" t="s">
        <v>493</v>
      </c>
      <c r="C39" s="419">
        <v>43434</v>
      </c>
      <c r="D39" s="419">
        <v>43800</v>
      </c>
      <c r="E39" s="424">
        <v>20</v>
      </c>
      <c r="F39" s="267">
        <v>443095.9</v>
      </c>
      <c r="G39" s="269"/>
      <c r="H39" s="267">
        <v>5538.88</v>
      </c>
      <c r="I39" s="130">
        <f t="shared" si="0"/>
        <v>448634.78</v>
      </c>
      <c r="J39" s="130">
        <f t="shared" si="1"/>
        <v>448634.78</v>
      </c>
      <c r="K39" s="4"/>
      <c r="L39" s="1"/>
    </row>
    <row r="40" spans="2:12" ht="29.25" customHeight="1" outlineLevel="1" x14ac:dyDescent="0.2">
      <c r="B40" s="3" t="s">
        <v>494</v>
      </c>
      <c r="C40" s="419">
        <v>43434</v>
      </c>
      <c r="D40" s="419">
        <v>43800</v>
      </c>
      <c r="E40" s="425">
        <v>20</v>
      </c>
      <c r="F40" s="267">
        <v>443095.9</v>
      </c>
      <c r="G40" s="269"/>
      <c r="H40" s="267">
        <v>5538.88</v>
      </c>
      <c r="I40" s="130">
        <f t="shared" si="0"/>
        <v>448634.78</v>
      </c>
      <c r="J40" s="130">
        <f t="shared" si="1"/>
        <v>448634.78</v>
      </c>
      <c r="K40" s="4"/>
      <c r="L40" s="1"/>
    </row>
    <row r="41" spans="2:12" ht="29.25" customHeight="1" outlineLevel="1" x14ac:dyDescent="0.2">
      <c r="B41" s="3" t="s">
        <v>495</v>
      </c>
      <c r="C41" s="419">
        <v>43434</v>
      </c>
      <c r="D41" s="419">
        <v>43800</v>
      </c>
      <c r="E41" s="424">
        <v>20</v>
      </c>
      <c r="F41" s="267">
        <v>443095.9</v>
      </c>
      <c r="G41" s="269"/>
      <c r="H41" s="267">
        <v>5538.88</v>
      </c>
      <c r="I41" s="130">
        <f t="shared" si="0"/>
        <v>448634.78</v>
      </c>
      <c r="J41" s="130">
        <f t="shared" si="1"/>
        <v>448634.78</v>
      </c>
      <c r="K41" s="4"/>
      <c r="L41" s="1"/>
    </row>
    <row r="42" spans="2:12" ht="29.25" customHeight="1" outlineLevel="1" x14ac:dyDescent="0.2">
      <c r="B42" s="3" t="s">
        <v>496</v>
      </c>
      <c r="C42" s="419">
        <v>43434</v>
      </c>
      <c r="D42" s="419">
        <v>43800</v>
      </c>
      <c r="E42" s="425">
        <v>20</v>
      </c>
      <c r="F42" s="267">
        <v>443095.9</v>
      </c>
      <c r="G42" s="269"/>
      <c r="H42" s="267">
        <v>5538.88</v>
      </c>
      <c r="I42" s="130">
        <f t="shared" si="0"/>
        <v>448634.78</v>
      </c>
      <c r="J42" s="130">
        <f t="shared" si="1"/>
        <v>448634.78</v>
      </c>
      <c r="K42" s="4"/>
      <c r="L42" s="1"/>
    </row>
    <row r="43" spans="2:12" ht="29.25" customHeight="1" outlineLevel="1" x14ac:dyDescent="0.2">
      <c r="B43" s="3" t="s">
        <v>497</v>
      </c>
      <c r="C43" s="419">
        <v>43434</v>
      </c>
      <c r="D43" s="419">
        <v>43800</v>
      </c>
      <c r="E43" s="424">
        <v>20</v>
      </c>
      <c r="F43" s="267">
        <v>443095.9</v>
      </c>
      <c r="G43" s="269"/>
      <c r="H43" s="267">
        <v>5538.88</v>
      </c>
      <c r="I43" s="130">
        <f t="shared" ref="I43:I74" si="2">G43+F43+H43</f>
        <v>448634.78</v>
      </c>
      <c r="J43" s="130">
        <f t="shared" si="1"/>
        <v>448634.78</v>
      </c>
      <c r="K43" s="4"/>
      <c r="L43" s="1"/>
    </row>
    <row r="44" spans="2:12" ht="29.25" customHeight="1" outlineLevel="1" x14ac:dyDescent="0.2">
      <c r="B44" s="3" t="s">
        <v>498</v>
      </c>
      <c r="C44" s="419">
        <v>43434</v>
      </c>
      <c r="D44" s="419">
        <v>43800</v>
      </c>
      <c r="E44" s="425">
        <v>20</v>
      </c>
      <c r="F44" s="267">
        <v>443095.9</v>
      </c>
      <c r="G44" s="269"/>
      <c r="H44" s="267">
        <v>5538.88</v>
      </c>
      <c r="I44" s="130">
        <f t="shared" si="2"/>
        <v>448634.78</v>
      </c>
      <c r="J44" s="130">
        <f t="shared" si="1"/>
        <v>448634.78</v>
      </c>
      <c r="K44" s="4"/>
      <c r="L44" s="1"/>
    </row>
    <row r="45" spans="2:12" ht="29.25" customHeight="1" outlineLevel="1" x14ac:dyDescent="0.2">
      <c r="B45" s="3" t="s">
        <v>499</v>
      </c>
      <c r="C45" s="419">
        <v>43434</v>
      </c>
      <c r="D45" s="419">
        <v>43800</v>
      </c>
      <c r="E45" s="424">
        <v>20</v>
      </c>
      <c r="F45" s="267">
        <v>443095.9</v>
      </c>
      <c r="G45" s="269"/>
      <c r="H45" s="267">
        <v>5538.88</v>
      </c>
      <c r="I45" s="130">
        <f t="shared" si="2"/>
        <v>448634.78</v>
      </c>
      <c r="J45" s="130">
        <f t="shared" si="1"/>
        <v>448634.78</v>
      </c>
      <c r="K45" s="4"/>
      <c r="L45" s="1"/>
    </row>
    <row r="46" spans="2:12" ht="29.25" customHeight="1" outlineLevel="1" x14ac:dyDescent="0.2">
      <c r="B46" s="3" t="s">
        <v>500</v>
      </c>
      <c r="C46" s="419">
        <v>43434</v>
      </c>
      <c r="D46" s="419">
        <v>43800</v>
      </c>
      <c r="E46" s="425">
        <v>20</v>
      </c>
      <c r="F46" s="267">
        <v>443095.9</v>
      </c>
      <c r="G46" s="269"/>
      <c r="H46" s="267">
        <v>5538.88</v>
      </c>
      <c r="I46" s="130">
        <f t="shared" si="2"/>
        <v>448634.78</v>
      </c>
      <c r="J46" s="130">
        <f t="shared" si="1"/>
        <v>448634.78</v>
      </c>
      <c r="K46" s="4"/>
      <c r="L46" s="1"/>
    </row>
    <row r="47" spans="2:12" ht="29.25" customHeight="1" outlineLevel="1" x14ac:dyDescent="0.2">
      <c r="B47" s="3" t="s">
        <v>501</v>
      </c>
      <c r="C47" s="419">
        <v>43434</v>
      </c>
      <c r="D47" s="419">
        <v>43800</v>
      </c>
      <c r="E47" s="424">
        <v>20</v>
      </c>
      <c r="F47" s="267">
        <v>443095.9</v>
      </c>
      <c r="G47" s="269"/>
      <c r="H47" s="267">
        <v>5538.88</v>
      </c>
      <c r="I47" s="130">
        <f t="shared" si="2"/>
        <v>448634.78</v>
      </c>
      <c r="J47" s="130">
        <f t="shared" si="1"/>
        <v>448634.78</v>
      </c>
      <c r="K47" s="4"/>
      <c r="L47" s="1"/>
    </row>
    <row r="48" spans="2:12" ht="29.25" customHeight="1" outlineLevel="1" x14ac:dyDescent="0.2">
      <c r="B48" s="3" t="s">
        <v>502</v>
      </c>
      <c r="C48" s="419">
        <v>43434</v>
      </c>
      <c r="D48" s="419">
        <v>43800</v>
      </c>
      <c r="E48" s="425">
        <v>20</v>
      </c>
      <c r="F48" s="267">
        <v>443095.9</v>
      </c>
      <c r="G48" s="269"/>
      <c r="H48" s="267">
        <v>5538.88</v>
      </c>
      <c r="I48" s="130">
        <f t="shared" si="2"/>
        <v>448634.78</v>
      </c>
      <c r="J48" s="130">
        <f t="shared" si="1"/>
        <v>448634.78</v>
      </c>
      <c r="K48" s="4"/>
      <c r="L48" s="1"/>
    </row>
    <row r="49" spans="2:12" ht="29.25" customHeight="1" outlineLevel="1" x14ac:dyDescent="0.2">
      <c r="B49" s="3" t="s">
        <v>503</v>
      </c>
      <c r="C49" s="419">
        <v>43434</v>
      </c>
      <c r="D49" s="419">
        <v>43800</v>
      </c>
      <c r="E49" s="424">
        <v>20</v>
      </c>
      <c r="F49" s="267">
        <v>443095.9</v>
      </c>
      <c r="G49" s="269"/>
      <c r="H49" s="267">
        <v>5538.89</v>
      </c>
      <c r="I49" s="130">
        <f t="shared" si="2"/>
        <v>448634.79000000004</v>
      </c>
      <c r="J49" s="130">
        <f t="shared" si="1"/>
        <v>448634.79000000004</v>
      </c>
      <c r="K49" s="4"/>
      <c r="L49" s="1"/>
    </row>
    <row r="50" spans="2:12" ht="29.25" customHeight="1" outlineLevel="1" x14ac:dyDescent="0.2">
      <c r="B50" s="3" t="s">
        <v>504</v>
      </c>
      <c r="C50" s="419">
        <v>43434</v>
      </c>
      <c r="D50" s="419">
        <v>43800</v>
      </c>
      <c r="E50" s="425">
        <v>20</v>
      </c>
      <c r="F50" s="267">
        <v>443095.9</v>
      </c>
      <c r="G50" s="269"/>
      <c r="H50" s="267">
        <v>5538.88</v>
      </c>
      <c r="I50" s="130">
        <f t="shared" si="2"/>
        <v>448634.78</v>
      </c>
      <c r="J50" s="130">
        <f t="shared" si="1"/>
        <v>448634.78</v>
      </c>
      <c r="K50" s="4"/>
      <c r="L50" s="1"/>
    </row>
    <row r="51" spans="2:12" ht="29.25" customHeight="1" outlineLevel="1" x14ac:dyDescent="0.2">
      <c r="B51" s="3" t="s">
        <v>505</v>
      </c>
      <c r="C51" s="419">
        <v>43434</v>
      </c>
      <c r="D51" s="419">
        <v>43800</v>
      </c>
      <c r="E51" s="424">
        <v>20</v>
      </c>
      <c r="F51" s="267">
        <v>443095.9</v>
      </c>
      <c r="G51" s="269"/>
      <c r="H51" s="267">
        <v>5538.89</v>
      </c>
      <c r="I51" s="130">
        <f t="shared" si="2"/>
        <v>448634.79000000004</v>
      </c>
      <c r="J51" s="130">
        <f t="shared" si="1"/>
        <v>448634.79000000004</v>
      </c>
      <c r="K51" s="4"/>
      <c r="L51" s="1"/>
    </row>
    <row r="52" spans="2:12" ht="29.25" customHeight="1" outlineLevel="1" x14ac:dyDescent="0.2">
      <c r="B52" s="3" t="s">
        <v>506</v>
      </c>
      <c r="C52" s="419">
        <v>43434</v>
      </c>
      <c r="D52" s="419">
        <v>43800</v>
      </c>
      <c r="E52" s="425">
        <v>20</v>
      </c>
      <c r="F52" s="267">
        <v>443095.9</v>
      </c>
      <c r="G52" s="269"/>
      <c r="H52" s="267">
        <v>5538.88</v>
      </c>
      <c r="I52" s="130">
        <f t="shared" si="2"/>
        <v>448634.78</v>
      </c>
      <c r="J52" s="130">
        <f t="shared" si="1"/>
        <v>448634.78</v>
      </c>
      <c r="K52" s="4"/>
      <c r="L52" s="1"/>
    </row>
    <row r="53" spans="2:12" ht="29.25" customHeight="1" outlineLevel="1" x14ac:dyDescent="0.2">
      <c r="B53" s="3" t="s">
        <v>507</v>
      </c>
      <c r="C53" s="419">
        <v>43434</v>
      </c>
      <c r="D53" s="419">
        <v>43800</v>
      </c>
      <c r="E53" s="424">
        <v>20</v>
      </c>
      <c r="F53" s="267">
        <v>443095.9</v>
      </c>
      <c r="G53" s="269"/>
      <c r="H53" s="267">
        <v>5538.88</v>
      </c>
      <c r="I53" s="130">
        <f t="shared" si="2"/>
        <v>448634.78</v>
      </c>
      <c r="J53" s="130">
        <f t="shared" si="1"/>
        <v>448634.78</v>
      </c>
      <c r="K53" s="4"/>
      <c r="L53" s="1"/>
    </row>
    <row r="54" spans="2:12" ht="29.25" customHeight="1" outlineLevel="1" x14ac:dyDescent="0.2">
      <c r="B54" s="3" t="s">
        <v>508</v>
      </c>
      <c r="C54" s="419">
        <v>43434</v>
      </c>
      <c r="D54" s="419">
        <v>43800</v>
      </c>
      <c r="E54" s="425">
        <v>20</v>
      </c>
      <c r="F54" s="267">
        <v>443095.9</v>
      </c>
      <c r="G54" s="269"/>
      <c r="H54" s="267">
        <v>5538.88</v>
      </c>
      <c r="I54" s="130">
        <f t="shared" si="2"/>
        <v>448634.78</v>
      </c>
      <c r="J54" s="130">
        <f t="shared" si="1"/>
        <v>448634.78</v>
      </c>
      <c r="K54" s="4"/>
      <c r="L54" s="1"/>
    </row>
    <row r="55" spans="2:12" ht="29.25" customHeight="1" outlineLevel="1" x14ac:dyDescent="0.2">
      <c r="B55" s="3" t="s">
        <v>509</v>
      </c>
      <c r="C55" s="419">
        <v>43434</v>
      </c>
      <c r="D55" s="419">
        <v>43800</v>
      </c>
      <c r="E55" s="424">
        <v>20</v>
      </c>
      <c r="F55" s="267">
        <v>443095.9</v>
      </c>
      <c r="G55" s="269"/>
      <c r="H55" s="267">
        <v>5538.88</v>
      </c>
      <c r="I55" s="130">
        <f t="shared" si="2"/>
        <v>448634.78</v>
      </c>
      <c r="J55" s="130">
        <f t="shared" si="1"/>
        <v>448634.78</v>
      </c>
      <c r="K55" s="4"/>
      <c r="L55" s="1"/>
    </row>
    <row r="56" spans="2:12" ht="29.25" customHeight="1" outlineLevel="1" x14ac:dyDescent="0.2">
      <c r="B56" s="3" t="s">
        <v>510</v>
      </c>
      <c r="C56" s="419">
        <v>43434</v>
      </c>
      <c r="D56" s="419">
        <v>43800</v>
      </c>
      <c r="E56" s="425">
        <v>20</v>
      </c>
      <c r="F56" s="267">
        <v>443095.9</v>
      </c>
      <c r="G56" s="269"/>
      <c r="H56" s="267">
        <v>5538.89</v>
      </c>
      <c r="I56" s="130">
        <f t="shared" si="2"/>
        <v>448634.79000000004</v>
      </c>
      <c r="J56" s="130">
        <f t="shared" si="1"/>
        <v>448634.79000000004</v>
      </c>
      <c r="K56" s="4"/>
      <c r="L56" s="1"/>
    </row>
    <row r="57" spans="2:12" ht="29.25" customHeight="1" outlineLevel="1" x14ac:dyDescent="0.2">
      <c r="B57" s="3" t="s">
        <v>511</v>
      </c>
      <c r="C57" s="419">
        <v>43434</v>
      </c>
      <c r="D57" s="419">
        <v>43800</v>
      </c>
      <c r="E57" s="424">
        <v>20</v>
      </c>
      <c r="F57" s="267">
        <v>443095.9</v>
      </c>
      <c r="G57" s="269"/>
      <c r="H57" s="267">
        <v>5538.88</v>
      </c>
      <c r="I57" s="130">
        <f t="shared" si="2"/>
        <v>448634.78</v>
      </c>
      <c r="J57" s="130">
        <f t="shared" si="1"/>
        <v>448634.78</v>
      </c>
      <c r="K57" s="4"/>
      <c r="L57" s="1"/>
    </row>
    <row r="58" spans="2:12" ht="29.25" customHeight="1" outlineLevel="1" x14ac:dyDescent="0.2">
      <c r="B58" s="3" t="s">
        <v>512</v>
      </c>
      <c r="C58" s="419">
        <v>43434</v>
      </c>
      <c r="D58" s="419">
        <v>43800</v>
      </c>
      <c r="E58" s="425">
        <v>20</v>
      </c>
      <c r="F58" s="267">
        <v>443095.9</v>
      </c>
      <c r="G58" s="269"/>
      <c r="H58" s="267">
        <v>5538.88</v>
      </c>
      <c r="I58" s="130">
        <f t="shared" si="2"/>
        <v>448634.78</v>
      </c>
      <c r="J58" s="130">
        <f t="shared" si="1"/>
        <v>448634.78</v>
      </c>
      <c r="K58" s="4"/>
      <c r="L58" s="1"/>
    </row>
    <row r="59" spans="2:12" ht="29.25" customHeight="1" outlineLevel="1" x14ac:dyDescent="0.2">
      <c r="B59" s="3" t="s">
        <v>513</v>
      </c>
      <c r="C59" s="419">
        <v>43434</v>
      </c>
      <c r="D59" s="419">
        <v>43800</v>
      </c>
      <c r="E59" s="424">
        <v>20</v>
      </c>
      <c r="F59" s="267">
        <v>443095.9</v>
      </c>
      <c r="G59" s="269"/>
      <c r="H59" s="267">
        <v>5538.88</v>
      </c>
      <c r="I59" s="130">
        <f t="shared" si="2"/>
        <v>448634.78</v>
      </c>
      <c r="J59" s="130">
        <f t="shared" si="1"/>
        <v>448634.78</v>
      </c>
      <c r="K59" s="4"/>
      <c r="L59" s="1"/>
    </row>
    <row r="60" spans="2:12" ht="29.25" customHeight="1" outlineLevel="1" x14ac:dyDescent="0.2">
      <c r="B60" s="3" t="s">
        <v>514</v>
      </c>
      <c r="C60" s="419">
        <v>43434</v>
      </c>
      <c r="D60" s="419">
        <v>43800</v>
      </c>
      <c r="E60" s="425">
        <v>20</v>
      </c>
      <c r="F60" s="267">
        <v>443095.9</v>
      </c>
      <c r="G60" s="269"/>
      <c r="H60" s="267">
        <v>5538.89</v>
      </c>
      <c r="I60" s="130">
        <f t="shared" si="2"/>
        <v>448634.79000000004</v>
      </c>
      <c r="J60" s="130">
        <f t="shared" si="1"/>
        <v>448634.79000000004</v>
      </c>
      <c r="K60" s="4"/>
      <c r="L60" s="1"/>
    </row>
    <row r="61" spans="2:12" ht="29.25" customHeight="1" outlineLevel="1" x14ac:dyDescent="0.2">
      <c r="B61" s="3" t="s">
        <v>515</v>
      </c>
      <c r="C61" s="419">
        <v>43434</v>
      </c>
      <c r="D61" s="419">
        <v>43800</v>
      </c>
      <c r="E61" s="424">
        <v>20</v>
      </c>
      <c r="F61" s="267">
        <v>443095.9</v>
      </c>
      <c r="G61" s="269"/>
      <c r="H61" s="267">
        <v>5538.88</v>
      </c>
      <c r="I61" s="130">
        <f t="shared" si="2"/>
        <v>448634.78</v>
      </c>
      <c r="J61" s="130">
        <f t="shared" si="1"/>
        <v>448634.78</v>
      </c>
      <c r="K61" s="4"/>
      <c r="L61" s="1"/>
    </row>
    <row r="62" spans="2:12" ht="29.25" customHeight="1" outlineLevel="1" x14ac:dyDescent="0.2">
      <c r="B62" s="3" t="s">
        <v>516</v>
      </c>
      <c r="C62" s="419">
        <v>43434</v>
      </c>
      <c r="D62" s="419">
        <v>43800</v>
      </c>
      <c r="E62" s="425">
        <v>20</v>
      </c>
      <c r="F62" s="267">
        <v>443095.9</v>
      </c>
      <c r="G62" s="269"/>
      <c r="H62" s="267">
        <v>5538.88</v>
      </c>
      <c r="I62" s="130">
        <f t="shared" si="2"/>
        <v>448634.78</v>
      </c>
      <c r="J62" s="130">
        <f t="shared" si="1"/>
        <v>448634.78</v>
      </c>
      <c r="K62" s="4"/>
      <c r="L62" s="1"/>
    </row>
    <row r="63" spans="2:12" ht="29.25" customHeight="1" outlineLevel="1" x14ac:dyDescent="0.2">
      <c r="B63" s="3" t="s">
        <v>517</v>
      </c>
      <c r="C63" s="419">
        <v>43434</v>
      </c>
      <c r="D63" s="419">
        <v>43800</v>
      </c>
      <c r="E63" s="424">
        <v>20</v>
      </c>
      <c r="F63" s="267">
        <v>443095.9</v>
      </c>
      <c r="G63" s="269"/>
      <c r="H63" s="267">
        <v>5538.88</v>
      </c>
      <c r="I63" s="130">
        <f t="shared" si="2"/>
        <v>448634.78</v>
      </c>
      <c r="J63" s="130">
        <f t="shared" si="1"/>
        <v>448634.78</v>
      </c>
      <c r="K63" s="4"/>
      <c r="L63" s="1"/>
    </row>
    <row r="64" spans="2:12" ht="29.25" customHeight="1" outlineLevel="1" x14ac:dyDescent="0.2">
      <c r="B64" s="3" t="s">
        <v>517</v>
      </c>
      <c r="C64" s="419">
        <v>43434</v>
      </c>
      <c r="D64" s="419">
        <v>43800</v>
      </c>
      <c r="E64" s="425">
        <v>20</v>
      </c>
      <c r="F64" s="267">
        <v>443095.9</v>
      </c>
      <c r="G64" s="269"/>
      <c r="H64" s="267">
        <v>5538.88</v>
      </c>
      <c r="I64" s="130">
        <f t="shared" si="2"/>
        <v>448634.78</v>
      </c>
      <c r="J64" s="130">
        <f t="shared" si="1"/>
        <v>448634.78</v>
      </c>
      <c r="K64" s="4"/>
      <c r="L64" s="1"/>
    </row>
    <row r="65" spans="2:12" ht="29.25" customHeight="1" outlineLevel="1" x14ac:dyDescent="0.2">
      <c r="B65" s="3" t="s">
        <v>518</v>
      </c>
      <c r="C65" s="419">
        <v>43434</v>
      </c>
      <c r="D65" s="419">
        <v>43800</v>
      </c>
      <c r="E65" s="424">
        <v>20</v>
      </c>
      <c r="F65" s="267">
        <v>443095.9</v>
      </c>
      <c r="G65" s="269"/>
      <c r="H65" s="267">
        <v>5538.88</v>
      </c>
      <c r="I65" s="130">
        <f t="shared" si="2"/>
        <v>448634.78</v>
      </c>
      <c r="J65" s="130">
        <f t="shared" si="1"/>
        <v>448634.78</v>
      </c>
      <c r="K65" s="4"/>
      <c r="L65" s="1"/>
    </row>
    <row r="66" spans="2:12" ht="29.25" customHeight="1" outlineLevel="1" x14ac:dyDescent="0.2">
      <c r="B66" s="3" t="s">
        <v>519</v>
      </c>
      <c r="C66" s="419">
        <v>43434</v>
      </c>
      <c r="D66" s="419">
        <v>43800</v>
      </c>
      <c r="E66" s="425">
        <v>20</v>
      </c>
      <c r="F66" s="267">
        <v>443095.9</v>
      </c>
      <c r="G66" s="269"/>
      <c r="H66" s="267">
        <v>5538.88</v>
      </c>
      <c r="I66" s="130">
        <f t="shared" si="2"/>
        <v>448634.78</v>
      </c>
      <c r="J66" s="130">
        <f t="shared" si="1"/>
        <v>448634.78</v>
      </c>
      <c r="K66" s="4"/>
      <c r="L66" s="1"/>
    </row>
    <row r="67" spans="2:12" ht="29.25" customHeight="1" outlineLevel="1" x14ac:dyDescent="0.2">
      <c r="B67" s="3" t="s">
        <v>520</v>
      </c>
      <c r="C67" s="419">
        <v>43434</v>
      </c>
      <c r="D67" s="419">
        <v>43800</v>
      </c>
      <c r="E67" s="424">
        <v>20</v>
      </c>
      <c r="F67" s="267">
        <v>443095.9</v>
      </c>
      <c r="G67" s="269"/>
      <c r="H67" s="267">
        <v>5538.88</v>
      </c>
      <c r="I67" s="130">
        <f t="shared" si="2"/>
        <v>448634.78</v>
      </c>
      <c r="J67" s="130">
        <f t="shared" si="1"/>
        <v>448634.78</v>
      </c>
      <c r="K67" s="4"/>
      <c r="L67" s="1"/>
    </row>
    <row r="68" spans="2:12" ht="29.25" customHeight="1" outlineLevel="1" x14ac:dyDescent="0.2">
      <c r="B68" s="3" t="s">
        <v>521</v>
      </c>
      <c r="C68" s="419">
        <v>43434</v>
      </c>
      <c r="D68" s="419">
        <v>43800</v>
      </c>
      <c r="E68" s="425">
        <v>20</v>
      </c>
      <c r="F68" s="267">
        <v>443095.9</v>
      </c>
      <c r="G68" s="269"/>
      <c r="H68" s="267">
        <v>5538.88</v>
      </c>
      <c r="I68" s="130">
        <f t="shared" si="2"/>
        <v>448634.78</v>
      </c>
      <c r="J68" s="130">
        <f t="shared" si="1"/>
        <v>448634.78</v>
      </c>
      <c r="K68" s="4"/>
      <c r="L68" s="1"/>
    </row>
    <row r="69" spans="2:12" ht="29.25" customHeight="1" outlineLevel="1" x14ac:dyDescent="0.2">
      <c r="B69" s="3" t="s">
        <v>522</v>
      </c>
      <c r="C69" s="419">
        <v>43434</v>
      </c>
      <c r="D69" s="419">
        <v>43800</v>
      </c>
      <c r="E69" s="424">
        <v>20</v>
      </c>
      <c r="F69" s="267">
        <v>443095.9</v>
      </c>
      <c r="G69" s="269"/>
      <c r="H69" s="267">
        <v>5538.88</v>
      </c>
      <c r="I69" s="130">
        <f t="shared" si="2"/>
        <v>448634.78</v>
      </c>
      <c r="J69" s="130">
        <f t="shared" si="1"/>
        <v>448634.78</v>
      </c>
      <c r="K69" s="4"/>
      <c r="L69" s="1"/>
    </row>
    <row r="70" spans="2:12" ht="29.25" customHeight="1" outlineLevel="1" x14ac:dyDescent="0.2">
      <c r="B70" s="3" t="s">
        <v>554</v>
      </c>
      <c r="C70" s="419">
        <v>43434</v>
      </c>
      <c r="D70" s="419">
        <v>43800</v>
      </c>
      <c r="E70" s="425">
        <v>20</v>
      </c>
      <c r="F70" s="267">
        <v>443095.9</v>
      </c>
      <c r="G70" s="269"/>
      <c r="H70" s="267">
        <v>5538.88</v>
      </c>
      <c r="I70" s="130">
        <f t="shared" si="2"/>
        <v>448634.78</v>
      </c>
      <c r="J70" s="130">
        <f t="shared" si="1"/>
        <v>448634.78</v>
      </c>
      <c r="K70" s="4"/>
      <c r="L70" s="1"/>
    </row>
    <row r="71" spans="2:12" ht="29.25" customHeight="1" outlineLevel="1" x14ac:dyDescent="0.2">
      <c r="B71" s="3" t="s">
        <v>523</v>
      </c>
      <c r="C71" s="419">
        <v>43434</v>
      </c>
      <c r="D71" s="419">
        <v>43800</v>
      </c>
      <c r="E71" s="424">
        <v>20</v>
      </c>
      <c r="F71" s="267">
        <v>443095.9</v>
      </c>
      <c r="G71" s="269"/>
      <c r="H71" s="267">
        <v>5538.89</v>
      </c>
      <c r="I71" s="130">
        <f t="shared" si="2"/>
        <v>448634.79000000004</v>
      </c>
      <c r="J71" s="130">
        <f t="shared" si="1"/>
        <v>448634.79000000004</v>
      </c>
      <c r="K71" s="4"/>
      <c r="L71" s="1"/>
    </row>
    <row r="72" spans="2:12" ht="29.25" customHeight="1" outlineLevel="1" x14ac:dyDescent="0.2">
      <c r="B72" s="3" t="s">
        <v>524</v>
      </c>
      <c r="C72" s="419">
        <v>43434</v>
      </c>
      <c r="D72" s="419">
        <v>43800</v>
      </c>
      <c r="E72" s="425">
        <v>20</v>
      </c>
      <c r="F72" s="268">
        <v>443095.9</v>
      </c>
      <c r="G72" s="269"/>
      <c r="H72" s="269">
        <v>5538.88</v>
      </c>
      <c r="I72" s="130">
        <f t="shared" si="2"/>
        <v>448634.78</v>
      </c>
      <c r="J72" s="130">
        <f t="shared" si="1"/>
        <v>448634.78</v>
      </c>
      <c r="K72" s="4"/>
      <c r="L72" s="1"/>
    </row>
    <row r="73" spans="2:12" ht="29.25" customHeight="1" outlineLevel="1" x14ac:dyDescent="0.2">
      <c r="B73" s="3" t="s">
        <v>525</v>
      </c>
      <c r="C73" s="419">
        <v>43434</v>
      </c>
      <c r="D73" s="419">
        <v>43800</v>
      </c>
      <c r="E73" s="424">
        <v>20</v>
      </c>
      <c r="F73" s="268">
        <v>443095.9</v>
      </c>
      <c r="G73" s="269"/>
      <c r="H73" s="269">
        <v>5538.88</v>
      </c>
      <c r="I73" s="130">
        <f t="shared" si="2"/>
        <v>448634.78</v>
      </c>
      <c r="J73" s="130">
        <f t="shared" si="1"/>
        <v>448634.78</v>
      </c>
      <c r="K73" s="4"/>
      <c r="L73" s="1"/>
    </row>
    <row r="74" spans="2:12" ht="29.25" customHeight="1" outlineLevel="1" x14ac:dyDescent="0.2">
      <c r="B74" s="3" t="s">
        <v>526</v>
      </c>
      <c r="C74" s="419">
        <v>43434</v>
      </c>
      <c r="D74" s="419">
        <v>43800</v>
      </c>
      <c r="E74" s="425">
        <v>20</v>
      </c>
      <c r="F74" s="268">
        <v>443095.9</v>
      </c>
      <c r="G74" s="269"/>
      <c r="H74" s="269">
        <v>5538.88</v>
      </c>
      <c r="I74" s="130">
        <f t="shared" si="2"/>
        <v>448634.78</v>
      </c>
      <c r="J74" s="130">
        <f t="shared" si="1"/>
        <v>448634.78</v>
      </c>
      <c r="K74" s="4"/>
      <c r="L74" s="1"/>
    </row>
    <row r="75" spans="2:12" ht="29.25" customHeight="1" outlineLevel="1" x14ac:dyDescent="0.2">
      <c r="B75" s="3" t="s">
        <v>555</v>
      </c>
      <c r="C75" s="419">
        <v>43434</v>
      </c>
      <c r="D75" s="419">
        <v>43800</v>
      </c>
      <c r="E75" s="424">
        <v>20</v>
      </c>
      <c r="F75" s="268">
        <v>443095.9</v>
      </c>
      <c r="G75" s="269"/>
      <c r="H75" s="269">
        <v>5538.88</v>
      </c>
      <c r="I75" s="130">
        <f t="shared" ref="I75:I106" si="3">G75+F75+H75</f>
        <v>448634.78</v>
      </c>
      <c r="J75" s="130">
        <f t="shared" ref="J75:J138" si="4">I75</f>
        <v>448634.78</v>
      </c>
      <c r="K75" s="4"/>
      <c r="L75" s="1"/>
    </row>
    <row r="76" spans="2:12" ht="29.25" customHeight="1" outlineLevel="1" x14ac:dyDescent="0.2">
      <c r="B76" s="3" t="s">
        <v>556</v>
      </c>
      <c r="C76" s="419">
        <v>43434</v>
      </c>
      <c r="D76" s="419">
        <v>43800</v>
      </c>
      <c r="E76" s="425">
        <v>20</v>
      </c>
      <c r="F76" s="268">
        <v>443095.9</v>
      </c>
      <c r="G76" s="269"/>
      <c r="H76" s="269">
        <v>5538.88</v>
      </c>
      <c r="I76" s="130">
        <f t="shared" si="3"/>
        <v>448634.78</v>
      </c>
      <c r="J76" s="130">
        <f t="shared" si="4"/>
        <v>448634.78</v>
      </c>
      <c r="K76" s="4"/>
      <c r="L76" s="1"/>
    </row>
    <row r="77" spans="2:12" ht="29.25" customHeight="1" outlineLevel="1" x14ac:dyDescent="0.2">
      <c r="B77" s="3" t="s">
        <v>527</v>
      </c>
      <c r="C77" s="419">
        <v>43434</v>
      </c>
      <c r="D77" s="419">
        <v>43800</v>
      </c>
      <c r="E77" s="424">
        <v>20</v>
      </c>
      <c r="F77" s="268">
        <v>443095.9</v>
      </c>
      <c r="G77" s="269"/>
      <c r="H77" s="269">
        <v>5538.88</v>
      </c>
      <c r="I77" s="130">
        <f t="shared" si="3"/>
        <v>448634.78</v>
      </c>
      <c r="J77" s="130">
        <f t="shared" si="4"/>
        <v>448634.78</v>
      </c>
      <c r="K77" s="4"/>
      <c r="L77" s="1"/>
    </row>
    <row r="78" spans="2:12" ht="29.25" customHeight="1" outlineLevel="1" x14ac:dyDescent="0.2">
      <c r="B78" s="3" t="s">
        <v>528</v>
      </c>
      <c r="C78" s="419">
        <v>43434</v>
      </c>
      <c r="D78" s="419">
        <v>43800</v>
      </c>
      <c r="E78" s="425">
        <v>20</v>
      </c>
      <c r="F78" s="268">
        <v>443095.9</v>
      </c>
      <c r="G78" s="269"/>
      <c r="H78" s="269">
        <v>5538.88</v>
      </c>
      <c r="I78" s="130">
        <f t="shared" si="3"/>
        <v>448634.78</v>
      </c>
      <c r="J78" s="130">
        <f t="shared" si="4"/>
        <v>448634.78</v>
      </c>
      <c r="K78" s="4"/>
      <c r="L78" s="1"/>
    </row>
    <row r="79" spans="2:12" ht="24" outlineLevel="1" x14ac:dyDescent="0.2">
      <c r="B79" s="6" t="s">
        <v>23</v>
      </c>
      <c r="C79" s="419">
        <v>43434</v>
      </c>
      <c r="D79" s="419">
        <v>43800</v>
      </c>
      <c r="E79" s="424">
        <v>20</v>
      </c>
      <c r="F79" s="269">
        <f>377118.64+20000</f>
        <v>397118.64</v>
      </c>
      <c r="G79" s="268">
        <f>5646653.19</f>
        <v>5646653.1900000004</v>
      </c>
      <c r="H79" s="269">
        <v>7539.41</v>
      </c>
      <c r="I79" s="130">
        <f t="shared" si="3"/>
        <v>6051311.2400000002</v>
      </c>
      <c r="J79" s="130">
        <f t="shared" si="4"/>
        <v>6051311.2400000002</v>
      </c>
      <c r="K79" s="22"/>
      <c r="L79" s="1"/>
    </row>
    <row r="80" spans="2:12" ht="24" outlineLevel="1" x14ac:dyDescent="0.2">
      <c r="B80" s="6" t="s">
        <v>7</v>
      </c>
      <c r="C80" s="419">
        <v>41547</v>
      </c>
      <c r="D80" s="419">
        <v>43829</v>
      </c>
      <c r="E80" s="424">
        <v>95</v>
      </c>
      <c r="F80" s="271">
        <f>5243373.83+5146764.69</f>
        <v>10390138.52</v>
      </c>
      <c r="G80" s="269">
        <f>11875462.66+4790060.24+105316+20175917.12+45912500.23+264530</f>
        <v>83123786.25</v>
      </c>
      <c r="H80" s="269">
        <f>124311.16+1157162.23</f>
        <v>1281473.3899999999</v>
      </c>
      <c r="I80" s="130">
        <f t="shared" si="3"/>
        <v>94795398.159999996</v>
      </c>
      <c r="J80" s="130">
        <f t="shared" si="4"/>
        <v>94795398.159999996</v>
      </c>
      <c r="K80" s="22"/>
      <c r="L80" s="1"/>
    </row>
    <row r="81" spans="2:12" ht="27" customHeight="1" outlineLevel="1" x14ac:dyDescent="0.2">
      <c r="B81" s="6" t="s">
        <v>538</v>
      </c>
      <c r="C81" s="419">
        <v>41268</v>
      </c>
      <c r="D81" s="419">
        <v>43617</v>
      </c>
      <c r="E81" s="424">
        <v>80</v>
      </c>
      <c r="F81" s="267">
        <v>322575.44</v>
      </c>
      <c r="G81" s="267"/>
      <c r="H81" s="269"/>
      <c r="I81" s="130">
        <f t="shared" si="3"/>
        <v>322575.44</v>
      </c>
      <c r="J81" s="130">
        <f t="shared" si="4"/>
        <v>322575.44</v>
      </c>
      <c r="K81" s="22"/>
      <c r="L81" s="1"/>
    </row>
    <row r="82" spans="2:12" ht="24" customHeight="1" outlineLevel="1" x14ac:dyDescent="0.2">
      <c r="B82" s="6" t="s">
        <v>236</v>
      </c>
      <c r="C82" s="419">
        <v>43454</v>
      </c>
      <c r="D82" s="419">
        <v>43800</v>
      </c>
      <c r="E82" s="424">
        <v>20</v>
      </c>
      <c r="F82" s="268">
        <v>307826.55</v>
      </c>
      <c r="G82" s="269"/>
      <c r="H82" s="269">
        <v>2642.52</v>
      </c>
      <c r="I82" s="130">
        <f t="shared" si="3"/>
        <v>310469.07</v>
      </c>
      <c r="J82" s="130">
        <f t="shared" si="4"/>
        <v>310469.07</v>
      </c>
      <c r="K82" s="22"/>
      <c r="L82" s="1"/>
    </row>
    <row r="83" spans="2:12" ht="24" outlineLevel="1" x14ac:dyDescent="0.2">
      <c r="B83" s="7" t="s">
        <v>68</v>
      </c>
      <c r="C83" s="419">
        <v>43281</v>
      </c>
      <c r="D83" s="419">
        <v>43800</v>
      </c>
      <c r="E83" s="424">
        <v>20</v>
      </c>
      <c r="F83" s="266"/>
      <c r="G83" s="266">
        <f>185620.84+7020678.7</f>
        <v>7206299.54</v>
      </c>
      <c r="H83" s="266">
        <f>2737.91+103555.01</f>
        <v>106292.92</v>
      </c>
      <c r="I83" s="130">
        <f t="shared" si="3"/>
        <v>7312592.46</v>
      </c>
      <c r="J83" s="130">
        <f t="shared" si="4"/>
        <v>7312592.46</v>
      </c>
      <c r="K83" s="22"/>
      <c r="L83" s="1"/>
    </row>
    <row r="84" spans="2:12" ht="39" customHeight="1" outlineLevel="1" x14ac:dyDescent="0.2">
      <c r="B84" s="7" t="s">
        <v>529</v>
      </c>
      <c r="C84" s="419">
        <v>43069</v>
      </c>
      <c r="D84" s="419">
        <v>43677</v>
      </c>
      <c r="E84" s="424">
        <v>65</v>
      </c>
      <c r="F84" s="268">
        <v>774196.24</v>
      </c>
      <c r="G84" s="266"/>
      <c r="H84" s="267">
        <v>9540.7800000000007</v>
      </c>
      <c r="I84" s="130">
        <f t="shared" si="3"/>
        <v>783737.02</v>
      </c>
      <c r="J84" s="130">
        <f t="shared" si="4"/>
        <v>783737.02</v>
      </c>
      <c r="K84" s="22"/>
      <c r="L84" s="1"/>
    </row>
    <row r="85" spans="2:12" ht="36" outlineLevel="1" x14ac:dyDescent="0.2">
      <c r="B85" s="7" t="s">
        <v>69</v>
      </c>
      <c r="C85" s="419">
        <v>43434</v>
      </c>
      <c r="D85" s="419">
        <v>43800</v>
      </c>
      <c r="E85" s="424">
        <v>20</v>
      </c>
      <c r="F85" s="266">
        <v>394687.11</v>
      </c>
      <c r="G85" s="267">
        <v>1869993.53</v>
      </c>
      <c r="H85" s="266">
        <f>5821.64+22065.92</f>
        <v>27887.559999999998</v>
      </c>
      <c r="I85" s="130">
        <f t="shared" si="3"/>
        <v>2292568.2000000002</v>
      </c>
      <c r="J85" s="130">
        <f t="shared" si="4"/>
        <v>2292568.2000000002</v>
      </c>
      <c r="K85" s="22"/>
      <c r="L85" s="1"/>
    </row>
    <row r="86" spans="2:12" outlineLevel="1" x14ac:dyDescent="0.2">
      <c r="B86" s="3" t="s">
        <v>70</v>
      </c>
      <c r="C86" s="419">
        <v>43069</v>
      </c>
      <c r="D86" s="419">
        <v>43511</v>
      </c>
      <c r="E86" s="424">
        <v>95</v>
      </c>
      <c r="F86" s="269">
        <v>174478.69</v>
      </c>
      <c r="G86" s="268">
        <v>1184246.06</v>
      </c>
      <c r="H86" s="269">
        <f>2573.56+14164.64</f>
        <v>16738.2</v>
      </c>
      <c r="I86" s="130">
        <f t="shared" si="3"/>
        <v>1375462.95</v>
      </c>
      <c r="J86" s="130">
        <f t="shared" si="4"/>
        <v>1375462.95</v>
      </c>
      <c r="K86" s="23"/>
      <c r="L86" s="19"/>
    </row>
    <row r="87" spans="2:12" outlineLevel="1" x14ac:dyDescent="0.2">
      <c r="B87" s="3" t="s">
        <v>314</v>
      </c>
      <c r="C87" s="419">
        <v>43069</v>
      </c>
      <c r="D87" s="419">
        <v>43585</v>
      </c>
      <c r="E87" s="424">
        <v>90</v>
      </c>
      <c r="F87" s="269">
        <v>174478.69</v>
      </c>
      <c r="G87" s="267">
        <v>1186385.42</v>
      </c>
      <c r="H87" s="269">
        <f>2573.56+14538.57</f>
        <v>17112.13</v>
      </c>
      <c r="I87" s="130">
        <f t="shared" si="3"/>
        <v>1377976.2399999998</v>
      </c>
      <c r="J87" s="130">
        <f t="shared" si="4"/>
        <v>1377976.2399999998</v>
      </c>
      <c r="K87" s="23"/>
      <c r="L87" s="19"/>
    </row>
    <row r="88" spans="2:12" ht="36" outlineLevel="1" x14ac:dyDescent="0.2">
      <c r="B88" s="3" t="s">
        <v>71</v>
      </c>
      <c r="C88" s="419">
        <v>43069</v>
      </c>
      <c r="D88" s="419">
        <v>43585</v>
      </c>
      <c r="E88" s="424">
        <v>90</v>
      </c>
      <c r="F88" s="269">
        <v>174478.68</v>
      </c>
      <c r="G88" s="268">
        <v>1140947.29</v>
      </c>
      <c r="H88" s="269">
        <f>2573.56+14581.75</f>
        <v>17155.310000000001</v>
      </c>
      <c r="I88" s="130">
        <f t="shared" si="3"/>
        <v>1332581.28</v>
      </c>
      <c r="J88" s="130">
        <f t="shared" si="4"/>
        <v>1332581.28</v>
      </c>
      <c r="K88" s="23"/>
      <c r="L88" s="19"/>
    </row>
    <row r="89" spans="2:12" ht="24" outlineLevel="1" x14ac:dyDescent="0.2">
      <c r="B89" s="3" t="s">
        <v>72</v>
      </c>
      <c r="C89" s="419">
        <v>43069</v>
      </c>
      <c r="D89" s="419">
        <v>43585</v>
      </c>
      <c r="E89" s="424">
        <v>90</v>
      </c>
      <c r="F89" s="269">
        <v>174478.69</v>
      </c>
      <c r="G89" s="268">
        <v>1120034.44</v>
      </c>
      <c r="H89" s="269">
        <f>2573.56+14273.29</f>
        <v>16846.850000000002</v>
      </c>
      <c r="I89" s="130">
        <f t="shared" si="3"/>
        <v>1311359.98</v>
      </c>
      <c r="J89" s="130">
        <f t="shared" si="4"/>
        <v>1311359.98</v>
      </c>
      <c r="K89" s="23"/>
      <c r="L89" s="19"/>
    </row>
    <row r="90" spans="2:12" outlineLevel="1" x14ac:dyDescent="0.2">
      <c r="B90" s="3" t="s">
        <v>73</v>
      </c>
      <c r="C90" s="419">
        <v>43069</v>
      </c>
      <c r="D90" s="419">
        <v>43585</v>
      </c>
      <c r="E90" s="424">
        <v>90</v>
      </c>
      <c r="F90" s="269">
        <v>174478.68</v>
      </c>
      <c r="G90" s="268">
        <v>1151120.95</v>
      </c>
      <c r="H90" s="269">
        <f>2573.56+14625.01</f>
        <v>17198.57</v>
      </c>
      <c r="I90" s="130">
        <f t="shared" si="3"/>
        <v>1342798.2</v>
      </c>
      <c r="J90" s="130">
        <f t="shared" si="4"/>
        <v>1342798.2</v>
      </c>
      <c r="K90" s="23"/>
      <c r="L90" s="19"/>
    </row>
    <row r="91" spans="2:12" outlineLevel="1" x14ac:dyDescent="0.2">
      <c r="B91" s="3" t="s">
        <v>74</v>
      </c>
      <c r="C91" s="419">
        <v>43069</v>
      </c>
      <c r="D91" s="419">
        <v>43585</v>
      </c>
      <c r="E91" s="424">
        <v>90</v>
      </c>
      <c r="F91" s="269">
        <v>174478.69</v>
      </c>
      <c r="G91" s="268">
        <v>1110855.6499999999</v>
      </c>
      <c r="H91" s="269">
        <f>2573.56+14508.27</f>
        <v>17081.830000000002</v>
      </c>
      <c r="I91" s="130">
        <f t="shared" si="3"/>
        <v>1302416.17</v>
      </c>
      <c r="J91" s="130">
        <f t="shared" si="4"/>
        <v>1302416.17</v>
      </c>
      <c r="K91" s="23"/>
      <c r="L91" s="19"/>
    </row>
    <row r="92" spans="2:12" ht="12" customHeight="1" outlineLevel="1" x14ac:dyDescent="0.2">
      <c r="B92" s="3" t="s">
        <v>33</v>
      </c>
      <c r="C92" s="419">
        <v>43069</v>
      </c>
      <c r="D92" s="419">
        <v>43585</v>
      </c>
      <c r="E92" s="424">
        <v>90</v>
      </c>
      <c r="F92" s="269">
        <f>877255.86+4038899.1</f>
        <v>4916154.96</v>
      </c>
      <c r="G92" s="269">
        <v>17057.2</v>
      </c>
      <c r="H92" s="269">
        <v>71287</v>
      </c>
      <c r="I92" s="130">
        <f t="shared" si="3"/>
        <v>5004499.16</v>
      </c>
      <c r="J92" s="130">
        <f t="shared" si="4"/>
        <v>5004499.16</v>
      </c>
      <c r="K92" s="22"/>
      <c r="L92" s="1"/>
    </row>
    <row r="93" spans="2:12" ht="31.5" customHeight="1" outlineLevel="1" x14ac:dyDescent="0.2">
      <c r="B93" s="3" t="s">
        <v>553</v>
      </c>
      <c r="C93" s="419">
        <v>42825</v>
      </c>
      <c r="D93" s="420">
        <v>43830</v>
      </c>
      <c r="E93" s="425">
        <v>50</v>
      </c>
      <c r="F93" s="269">
        <v>627110</v>
      </c>
      <c r="G93" s="269"/>
      <c r="H93" s="269"/>
      <c r="I93" s="130">
        <f t="shared" si="3"/>
        <v>627110</v>
      </c>
      <c r="J93" s="130">
        <f t="shared" si="4"/>
        <v>627110</v>
      </c>
      <c r="K93" s="22"/>
      <c r="L93" s="1"/>
    </row>
    <row r="94" spans="2:12" ht="12" customHeight="1" outlineLevel="1" x14ac:dyDescent="0.2">
      <c r="B94" s="3" t="s">
        <v>28</v>
      </c>
      <c r="C94" s="421">
        <v>43462</v>
      </c>
      <c r="D94" s="422"/>
      <c r="E94" s="426"/>
      <c r="F94" s="269">
        <f>116216.5+578783.5+1101368.11</f>
        <v>1796368.11</v>
      </c>
      <c r="G94" s="269">
        <f>773103.42+23034702.16</f>
        <v>23807805.580000002</v>
      </c>
      <c r="H94" s="269">
        <f>5562.5+17000+19830.12+97063.2+97063.2+97063.2</f>
        <v>333582.22000000003</v>
      </c>
      <c r="I94" s="130">
        <f t="shared" si="3"/>
        <v>25937755.91</v>
      </c>
      <c r="J94" s="130">
        <f t="shared" si="4"/>
        <v>25937755.91</v>
      </c>
      <c r="K94" s="22"/>
      <c r="L94" s="1"/>
    </row>
    <row r="95" spans="2:12" ht="12" customHeight="1" outlineLevel="1" x14ac:dyDescent="0.2">
      <c r="B95" s="3" t="s">
        <v>530</v>
      </c>
      <c r="C95" s="419">
        <v>42475</v>
      </c>
      <c r="D95" s="420">
        <v>43556</v>
      </c>
      <c r="E95" s="425">
        <v>80</v>
      </c>
      <c r="F95" s="267">
        <v>211494.69</v>
      </c>
      <c r="G95" s="269"/>
      <c r="H95" s="268">
        <v>2268.7600000000002</v>
      </c>
      <c r="I95" s="130">
        <f t="shared" si="3"/>
        <v>213763.45</v>
      </c>
      <c r="J95" s="130">
        <f t="shared" si="4"/>
        <v>213763.45</v>
      </c>
      <c r="K95" s="22"/>
      <c r="L95" s="1"/>
    </row>
    <row r="96" spans="2:12" ht="12" customHeight="1" outlineLevel="1" x14ac:dyDescent="0.2">
      <c r="B96" s="3" t="s">
        <v>169</v>
      </c>
      <c r="C96" s="419">
        <v>76306</v>
      </c>
      <c r="D96" s="420">
        <v>43800</v>
      </c>
      <c r="E96" s="425">
        <v>20</v>
      </c>
      <c r="F96" s="269">
        <v>78357</v>
      </c>
      <c r="G96" s="269"/>
      <c r="H96" s="269">
        <f>907.7</f>
        <v>907.7</v>
      </c>
      <c r="I96" s="130">
        <f t="shared" si="3"/>
        <v>79264.7</v>
      </c>
      <c r="J96" s="130">
        <f t="shared" si="4"/>
        <v>79264.7</v>
      </c>
      <c r="K96" s="22"/>
      <c r="L96" s="1"/>
    </row>
    <row r="97" spans="2:12" ht="12" customHeight="1" outlineLevel="1" x14ac:dyDescent="0.2">
      <c r="B97" s="3" t="s">
        <v>170</v>
      </c>
      <c r="C97" s="419">
        <v>43280</v>
      </c>
      <c r="D97" s="420">
        <v>43830</v>
      </c>
      <c r="E97" s="425">
        <v>40</v>
      </c>
      <c r="F97" s="269">
        <v>78357</v>
      </c>
      <c r="G97" s="269"/>
      <c r="H97" s="269">
        <f>907.7</f>
        <v>907.7</v>
      </c>
      <c r="I97" s="130">
        <f t="shared" si="3"/>
        <v>79264.7</v>
      </c>
      <c r="J97" s="130">
        <f t="shared" si="4"/>
        <v>79264.7</v>
      </c>
      <c r="K97" s="22"/>
      <c r="L97" s="1"/>
    </row>
    <row r="98" spans="2:12" ht="12" customHeight="1" outlineLevel="1" x14ac:dyDescent="0.2">
      <c r="B98" s="3" t="s">
        <v>171</v>
      </c>
      <c r="C98" s="419">
        <v>43280</v>
      </c>
      <c r="D98" s="420">
        <v>43830</v>
      </c>
      <c r="E98" s="425">
        <v>40</v>
      </c>
      <c r="F98" s="269">
        <v>55070.400000000001</v>
      </c>
      <c r="G98" s="269"/>
      <c r="H98" s="269">
        <f>907.7</f>
        <v>907.7</v>
      </c>
      <c r="I98" s="130">
        <f t="shared" si="3"/>
        <v>55978.1</v>
      </c>
      <c r="J98" s="130">
        <f t="shared" si="4"/>
        <v>55978.1</v>
      </c>
      <c r="K98" s="22"/>
      <c r="L98" s="1"/>
    </row>
    <row r="99" spans="2:12" ht="42" customHeight="1" outlineLevel="1" x14ac:dyDescent="0.2">
      <c r="B99" s="3" t="s">
        <v>172</v>
      </c>
      <c r="C99" s="419">
        <v>43280</v>
      </c>
      <c r="D99" s="420">
        <v>43830</v>
      </c>
      <c r="E99" s="425">
        <v>40</v>
      </c>
      <c r="F99" s="269">
        <v>78357</v>
      </c>
      <c r="G99" s="269"/>
      <c r="H99" s="269">
        <v>907.7</v>
      </c>
      <c r="I99" s="130">
        <f t="shared" si="3"/>
        <v>79264.7</v>
      </c>
      <c r="J99" s="130">
        <f t="shared" si="4"/>
        <v>79264.7</v>
      </c>
      <c r="K99" s="22"/>
      <c r="L99" s="1"/>
    </row>
    <row r="100" spans="2:12" ht="27" customHeight="1" outlineLevel="1" x14ac:dyDescent="0.2">
      <c r="B100" s="3" t="s">
        <v>173</v>
      </c>
      <c r="C100" s="419">
        <v>43280</v>
      </c>
      <c r="D100" s="420">
        <v>43830</v>
      </c>
      <c r="E100" s="425">
        <v>40</v>
      </c>
      <c r="F100" s="269">
        <v>78357</v>
      </c>
      <c r="G100" s="269"/>
      <c r="H100" s="269">
        <v>907.7</v>
      </c>
      <c r="I100" s="130">
        <f t="shared" si="3"/>
        <v>79264.7</v>
      </c>
      <c r="J100" s="130">
        <f t="shared" si="4"/>
        <v>79264.7</v>
      </c>
      <c r="K100" s="22"/>
      <c r="L100" s="1"/>
    </row>
    <row r="101" spans="2:12" ht="24" customHeight="1" outlineLevel="1" x14ac:dyDescent="0.2">
      <c r="B101" s="3" t="s">
        <v>174</v>
      </c>
      <c r="C101" s="419">
        <v>43280</v>
      </c>
      <c r="D101" s="420">
        <v>43830</v>
      </c>
      <c r="E101" s="425">
        <v>40</v>
      </c>
      <c r="F101" s="269">
        <v>55070.400000000001</v>
      </c>
      <c r="G101" s="269"/>
      <c r="H101" s="269">
        <v>907.7</v>
      </c>
      <c r="I101" s="130">
        <f t="shared" si="3"/>
        <v>55978.1</v>
      </c>
      <c r="J101" s="130">
        <f t="shared" si="4"/>
        <v>55978.1</v>
      </c>
      <c r="K101" s="22"/>
      <c r="L101" s="1"/>
    </row>
    <row r="102" spans="2:12" ht="25.5" customHeight="1" outlineLevel="1" x14ac:dyDescent="0.2">
      <c r="B102" s="3" t="s">
        <v>175</v>
      </c>
      <c r="C102" s="419">
        <v>43280</v>
      </c>
      <c r="D102" s="420">
        <v>43830</v>
      </c>
      <c r="E102" s="425">
        <v>40</v>
      </c>
      <c r="F102" s="269">
        <v>55070.400000000001</v>
      </c>
      <c r="G102" s="269"/>
      <c r="H102" s="269">
        <v>907.7</v>
      </c>
      <c r="I102" s="130">
        <f t="shared" si="3"/>
        <v>55978.1</v>
      </c>
      <c r="J102" s="130">
        <f t="shared" si="4"/>
        <v>55978.1</v>
      </c>
      <c r="K102" s="22"/>
      <c r="L102" s="1"/>
    </row>
    <row r="103" spans="2:12" ht="27.75" customHeight="1" outlineLevel="1" x14ac:dyDescent="0.2">
      <c r="B103" s="3" t="s">
        <v>176</v>
      </c>
      <c r="C103" s="419">
        <v>43280</v>
      </c>
      <c r="D103" s="420">
        <v>43830</v>
      </c>
      <c r="E103" s="425">
        <v>40</v>
      </c>
      <c r="F103" s="269">
        <v>78357</v>
      </c>
      <c r="G103" s="269"/>
      <c r="H103" s="269">
        <v>907.69</v>
      </c>
      <c r="I103" s="130">
        <f t="shared" si="3"/>
        <v>79264.69</v>
      </c>
      <c r="J103" s="130">
        <f t="shared" si="4"/>
        <v>79264.69</v>
      </c>
      <c r="K103" s="22"/>
      <c r="L103" s="1"/>
    </row>
    <row r="104" spans="2:12" ht="27.75" customHeight="1" outlineLevel="1" x14ac:dyDescent="0.2">
      <c r="B104" s="3" t="s">
        <v>177</v>
      </c>
      <c r="C104" s="419">
        <v>43280</v>
      </c>
      <c r="D104" s="420">
        <v>43830</v>
      </c>
      <c r="E104" s="425">
        <v>40</v>
      </c>
      <c r="F104" s="269">
        <v>78357</v>
      </c>
      <c r="G104" s="269"/>
      <c r="H104" s="269">
        <v>907.69</v>
      </c>
      <c r="I104" s="130">
        <f t="shared" si="3"/>
        <v>79264.69</v>
      </c>
      <c r="J104" s="130">
        <f t="shared" si="4"/>
        <v>79264.69</v>
      </c>
      <c r="K104" s="22"/>
      <c r="L104" s="1"/>
    </row>
    <row r="105" spans="2:12" ht="27.75" customHeight="1" outlineLevel="1" x14ac:dyDescent="0.2">
      <c r="B105" s="3" t="s">
        <v>178</v>
      </c>
      <c r="C105" s="419">
        <v>43280</v>
      </c>
      <c r="D105" s="420">
        <v>43830</v>
      </c>
      <c r="E105" s="425">
        <v>40</v>
      </c>
      <c r="F105" s="269">
        <v>55070.400000000001</v>
      </c>
      <c r="G105" s="269"/>
      <c r="H105" s="269">
        <v>907.7</v>
      </c>
      <c r="I105" s="130">
        <f t="shared" si="3"/>
        <v>55978.1</v>
      </c>
      <c r="J105" s="130">
        <f t="shared" si="4"/>
        <v>55978.1</v>
      </c>
      <c r="K105" s="22"/>
      <c r="L105" s="1"/>
    </row>
    <row r="106" spans="2:12" ht="27.75" customHeight="1" outlineLevel="1" x14ac:dyDescent="0.2">
      <c r="B106" s="3" t="s">
        <v>179</v>
      </c>
      <c r="C106" s="419">
        <v>43280</v>
      </c>
      <c r="D106" s="420">
        <v>43830</v>
      </c>
      <c r="E106" s="425">
        <v>40</v>
      </c>
      <c r="F106" s="269">
        <v>55070.400000000001</v>
      </c>
      <c r="G106" s="269"/>
      <c r="H106" s="269">
        <v>907.7</v>
      </c>
      <c r="I106" s="130">
        <f t="shared" si="3"/>
        <v>55978.1</v>
      </c>
      <c r="J106" s="130">
        <f t="shared" si="4"/>
        <v>55978.1</v>
      </c>
      <c r="K106" s="22"/>
      <c r="L106" s="1"/>
    </row>
    <row r="107" spans="2:12" ht="27.75" customHeight="1" outlineLevel="1" x14ac:dyDescent="0.2">
      <c r="B107" s="3" t="s">
        <v>180</v>
      </c>
      <c r="C107" s="419">
        <v>43280</v>
      </c>
      <c r="D107" s="420">
        <v>43830</v>
      </c>
      <c r="E107" s="425">
        <v>40</v>
      </c>
      <c r="F107" s="269">
        <v>78357</v>
      </c>
      <c r="G107" s="269"/>
      <c r="H107" s="269">
        <v>907.7</v>
      </c>
      <c r="I107" s="130">
        <f t="shared" ref="I107:I138" si="5">G107+F107+H107</f>
        <v>79264.7</v>
      </c>
      <c r="J107" s="130">
        <f t="shared" si="4"/>
        <v>79264.7</v>
      </c>
      <c r="K107" s="22"/>
      <c r="L107" s="1"/>
    </row>
    <row r="108" spans="2:12" ht="27.75" customHeight="1" outlineLevel="1" x14ac:dyDescent="0.2">
      <c r="B108" s="3" t="s">
        <v>181</v>
      </c>
      <c r="C108" s="419">
        <v>43280</v>
      </c>
      <c r="D108" s="420">
        <v>43830</v>
      </c>
      <c r="E108" s="425">
        <v>40</v>
      </c>
      <c r="F108" s="269">
        <v>78357</v>
      </c>
      <c r="G108" s="269"/>
      <c r="H108" s="269">
        <v>907.7</v>
      </c>
      <c r="I108" s="130">
        <f t="shared" si="5"/>
        <v>79264.7</v>
      </c>
      <c r="J108" s="130">
        <f t="shared" si="4"/>
        <v>79264.7</v>
      </c>
      <c r="K108" s="22"/>
      <c r="L108" s="1"/>
    </row>
    <row r="109" spans="2:12" ht="27.75" customHeight="1" outlineLevel="1" x14ac:dyDescent="0.2">
      <c r="B109" s="3" t="s">
        <v>182</v>
      </c>
      <c r="C109" s="419">
        <v>43280</v>
      </c>
      <c r="D109" s="420">
        <v>43830</v>
      </c>
      <c r="E109" s="425">
        <v>40</v>
      </c>
      <c r="F109" s="269">
        <v>55070.400000000001</v>
      </c>
      <c r="G109" s="269"/>
      <c r="H109" s="269">
        <v>907.7</v>
      </c>
      <c r="I109" s="130">
        <f t="shared" si="5"/>
        <v>55978.1</v>
      </c>
      <c r="J109" s="130">
        <f t="shared" si="4"/>
        <v>55978.1</v>
      </c>
      <c r="K109" s="22"/>
      <c r="L109" s="1"/>
    </row>
    <row r="110" spans="2:12" ht="36" customHeight="1" outlineLevel="1" x14ac:dyDescent="0.2">
      <c r="B110" s="3" t="s">
        <v>183</v>
      </c>
      <c r="C110" s="419">
        <v>43280</v>
      </c>
      <c r="D110" s="420">
        <v>43830</v>
      </c>
      <c r="E110" s="425">
        <v>40</v>
      </c>
      <c r="F110" s="269">
        <v>55070.400000000001</v>
      </c>
      <c r="G110" s="269"/>
      <c r="H110" s="269">
        <v>907.7</v>
      </c>
      <c r="I110" s="130">
        <f t="shared" si="5"/>
        <v>55978.1</v>
      </c>
      <c r="J110" s="130">
        <f t="shared" si="4"/>
        <v>55978.1</v>
      </c>
      <c r="K110" s="22"/>
      <c r="L110" s="1"/>
    </row>
    <row r="111" spans="2:12" ht="27.75" customHeight="1" outlineLevel="1" x14ac:dyDescent="0.2">
      <c r="B111" s="3" t="s">
        <v>184</v>
      </c>
      <c r="C111" s="419">
        <v>43280</v>
      </c>
      <c r="D111" s="420">
        <v>43830</v>
      </c>
      <c r="E111" s="425">
        <v>40</v>
      </c>
      <c r="F111" s="269">
        <v>135117</v>
      </c>
      <c r="G111" s="269"/>
      <c r="H111" s="269">
        <v>1992.98</v>
      </c>
      <c r="I111" s="130">
        <f t="shared" si="5"/>
        <v>137109.98000000001</v>
      </c>
      <c r="J111" s="130">
        <f t="shared" si="4"/>
        <v>137109.98000000001</v>
      </c>
      <c r="K111" s="22"/>
      <c r="L111" s="1"/>
    </row>
    <row r="112" spans="2:12" ht="27.75" customHeight="1" outlineLevel="1" x14ac:dyDescent="0.2">
      <c r="B112" s="3" t="s">
        <v>185</v>
      </c>
      <c r="C112" s="419">
        <v>43280</v>
      </c>
      <c r="D112" s="420">
        <v>43830</v>
      </c>
      <c r="E112" s="425">
        <v>40</v>
      </c>
      <c r="F112" s="269">
        <v>135117</v>
      </c>
      <c r="G112" s="269"/>
      <c r="H112" s="269">
        <v>1992.98</v>
      </c>
      <c r="I112" s="130">
        <f t="shared" si="5"/>
        <v>137109.98000000001</v>
      </c>
      <c r="J112" s="130">
        <f t="shared" si="4"/>
        <v>137109.98000000001</v>
      </c>
      <c r="K112" s="22"/>
      <c r="L112" s="1"/>
    </row>
    <row r="113" spans="2:12" ht="27.75" customHeight="1" outlineLevel="1" x14ac:dyDescent="0.2">
      <c r="B113" s="3" t="s">
        <v>186</v>
      </c>
      <c r="C113" s="419">
        <v>43280</v>
      </c>
      <c r="D113" s="420">
        <v>43830</v>
      </c>
      <c r="E113" s="425">
        <v>40</v>
      </c>
      <c r="F113" s="269">
        <v>135117</v>
      </c>
      <c r="G113" s="269"/>
      <c r="H113" s="269">
        <v>1992.98</v>
      </c>
      <c r="I113" s="130">
        <f t="shared" si="5"/>
        <v>137109.98000000001</v>
      </c>
      <c r="J113" s="130">
        <f t="shared" si="4"/>
        <v>137109.98000000001</v>
      </c>
      <c r="K113" s="22"/>
      <c r="L113" s="1"/>
    </row>
    <row r="114" spans="2:12" ht="27.75" customHeight="1" outlineLevel="1" x14ac:dyDescent="0.2">
      <c r="B114" s="3" t="s">
        <v>187</v>
      </c>
      <c r="C114" s="419">
        <v>43280</v>
      </c>
      <c r="D114" s="420">
        <v>43830</v>
      </c>
      <c r="E114" s="425">
        <v>40</v>
      </c>
      <c r="F114" s="269">
        <v>78357</v>
      </c>
      <c r="G114" s="269"/>
      <c r="H114" s="269">
        <v>907.7</v>
      </c>
      <c r="I114" s="130">
        <f t="shared" si="5"/>
        <v>79264.7</v>
      </c>
      <c r="J114" s="130">
        <f t="shared" si="4"/>
        <v>79264.7</v>
      </c>
      <c r="K114" s="22"/>
      <c r="L114" s="1"/>
    </row>
    <row r="115" spans="2:12" ht="27.75" customHeight="1" outlineLevel="1" x14ac:dyDescent="0.2">
      <c r="B115" s="3" t="s">
        <v>188</v>
      </c>
      <c r="C115" s="419">
        <v>43280</v>
      </c>
      <c r="D115" s="420">
        <v>43830</v>
      </c>
      <c r="E115" s="425">
        <v>40</v>
      </c>
      <c r="F115" s="269">
        <v>55070.400000000001</v>
      </c>
      <c r="G115" s="269"/>
      <c r="H115" s="269">
        <v>907.69</v>
      </c>
      <c r="I115" s="130">
        <f t="shared" si="5"/>
        <v>55978.090000000004</v>
      </c>
      <c r="J115" s="130">
        <f t="shared" si="4"/>
        <v>55978.090000000004</v>
      </c>
      <c r="K115" s="22"/>
      <c r="L115" s="1"/>
    </row>
    <row r="116" spans="2:12" ht="27.75" customHeight="1" outlineLevel="1" x14ac:dyDescent="0.2">
      <c r="B116" s="3" t="s">
        <v>189</v>
      </c>
      <c r="C116" s="419">
        <v>43280</v>
      </c>
      <c r="D116" s="420">
        <v>43830</v>
      </c>
      <c r="E116" s="425">
        <v>40</v>
      </c>
      <c r="F116" s="269">
        <v>55070.400000000001</v>
      </c>
      <c r="G116" s="269"/>
      <c r="H116" s="269">
        <v>907.69</v>
      </c>
      <c r="I116" s="130">
        <f t="shared" si="5"/>
        <v>55978.090000000004</v>
      </c>
      <c r="J116" s="130">
        <f t="shared" si="4"/>
        <v>55978.090000000004</v>
      </c>
      <c r="K116" s="22"/>
      <c r="L116" s="1"/>
    </row>
    <row r="117" spans="2:12" ht="27.75" customHeight="1" outlineLevel="1" x14ac:dyDescent="0.2">
      <c r="B117" s="3" t="s">
        <v>190</v>
      </c>
      <c r="C117" s="419">
        <v>43280</v>
      </c>
      <c r="D117" s="420">
        <v>43830</v>
      </c>
      <c r="E117" s="425">
        <v>40</v>
      </c>
      <c r="F117" s="269">
        <v>55070.400000000001</v>
      </c>
      <c r="G117" s="269"/>
      <c r="H117" s="269">
        <v>907.7</v>
      </c>
      <c r="I117" s="130">
        <f t="shared" si="5"/>
        <v>55978.1</v>
      </c>
      <c r="J117" s="130">
        <f t="shared" si="4"/>
        <v>55978.1</v>
      </c>
      <c r="K117" s="22"/>
      <c r="L117" s="1"/>
    </row>
    <row r="118" spans="2:12" ht="27.75" customHeight="1" outlineLevel="1" x14ac:dyDescent="0.2">
      <c r="B118" s="3" t="s">
        <v>191</v>
      </c>
      <c r="C118" s="419">
        <v>43280</v>
      </c>
      <c r="D118" s="420">
        <v>43830</v>
      </c>
      <c r="E118" s="425">
        <v>40</v>
      </c>
      <c r="F118" s="269">
        <v>55070.400000000001</v>
      </c>
      <c r="G118" s="269"/>
      <c r="H118" s="269">
        <v>907.69</v>
      </c>
      <c r="I118" s="130">
        <f t="shared" si="5"/>
        <v>55978.090000000004</v>
      </c>
      <c r="J118" s="130">
        <f t="shared" si="4"/>
        <v>55978.090000000004</v>
      </c>
      <c r="K118" s="22"/>
      <c r="L118" s="1"/>
    </row>
    <row r="119" spans="2:12" ht="27.75" customHeight="1" outlineLevel="1" x14ac:dyDescent="0.2">
      <c r="B119" s="3" t="s">
        <v>224</v>
      </c>
      <c r="C119" s="419">
        <v>43280</v>
      </c>
      <c r="D119" s="420">
        <v>43830</v>
      </c>
      <c r="E119" s="425">
        <v>40</v>
      </c>
      <c r="F119" s="269">
        <v>55070.400000000001</v>
      </c>
      <c r="G119" s="269"/>
      <c r="H119" s="269">
        <v>907.69</v>
      </c>
      <c r="I119" s="130">
        <f t="shared" si="5"/>
        <v>55978.090000000004</v>
      </c>
      <c r="J119" s="130">
        <f t="shared" si="4"/>
        <v>55978.090000000004</v>
      </c>
      <c r="K119" s="22"/>
      <c r="L119" s="1"/>
    </row>
    <row r="120" spans="2:12" ht="27.75" customHeight="1" outlineLevel="1" x14ac:dyDescent="0.2">
      <c r="B120" s="3" t="s">
        <v>192</v>
      </c>
      <c r="C120" s="419">
        <v>43280</v>
      </c>
      <c r="D120" s="420">
        <v>43830</v>
      </c>
      <c r="E120" s="425">
        <v>40</v>
      </c>
      <c r="F120" s="269">
        <v>55070.400000000001</v>
      </c>
      <c r="G120" s="269"/>
      <c r="H120" s="269">
        <v>907.69</v>
      </c>
      <c r="I120" s="130">
        <f t="shared" si="5"/>
        <v>55978.090000000004</v>
      </c>
      <c r="J120" s="130">
        <f t="shared" si="4"/>
        <v>55978.090000000004</v>
      </c>
      <c r="K120" s="22"/>
      <c r="L120" s="1"/>
    </row>
    <row r="121" spans="2:12" ht="27.75" customHeight="1" outlineLevel="1" x14ac:dyDescent="0.2">
      <c r="B121" s="3" t="s">
        <v>193</v>
      </c>
      <c r="C121" s="419">
        <v>43280</v>
      </c>
      <c r="D121" s="420">
        <v>43830</v>
      </c>
      <c r="E121" s="425">
        <v>40</v>
      </c>
      <c r="F121" s="269">
        <v>135117</v>
      </c>
      <c r="G121" s="269"/>
      <c r="H121" s="269">
        <v>1992.98</v>
      </c>
      <c r="I121" s="130">
        <f t="shared" si="5"/>
        <v>137109.98000000001</v>
      </c>
      <c r="J121" s="130">
        <f t="shared" si="4"/>
        <v>137109.98000000001</v>
      </c>
      <c r="K121" s="22"/>
      <c r="L121" s="1"/>
    </row>
    <row r="122" spans="2:12" ht="27.75" customHeight="1" outlineLevel="1" x14ac:dyDescent="0.2">
      <c r="B122" s="3" t="s">
        <v>194</v>
      </c>
      <c r="C122" s="419">
        <v>43280</v>
      </c>
      <c r="D122" s="420">
        <v>43830</v>
      </c>
      <c r="E122" s="425">
        <v>40</v>
      </c>
      <c r="F122" s="269">
        <v>135117</v>
      </c>
      <c r="G122" s="269"/>
      <c r="H122" s="269">
        <v>1992.97</v>
      </c>
      <c r="I122" s="130">
        <f t="shared" si="5"/>
        <v>137109.97</v>
      </c>
      <c r="J122" s="130">
        <f t="shared" si="4"/>
        <v>137109.97</v>
      </c>
      <c r="K122" s="22"/>
      <c r="L122" s="1"/>
    </row>
    <row r="123" spans="2:12" ht="27.75" customHeight="1" outlineLevel="1" x14ac:dyDescent="0.2">
      <c r="B123" s="3" t="s">
        <v>195</v>
      </c>
      <c r="C123" s="419">
        <v>43280</v>
      </c>
      <c r="D123" s="420">
        <v>43830</v>
      </c>
      <c r="E123" s="425">
        <v>40</v>
      </c>
      <c r="F123" s="269">
        <v>135117</v>
      </c>
      <c r="G123" s="269"/>
      <c r="H123" s="269">
        <v>1992.97</v>
      </c>
      <c r="I123" s="130">
        <f t="shared" si="5"/>
        <v>137109.97</v>
      </c>
      <c r="J123" s="130">
        <f t="shared" si="4"/>
        <v>137109.97</v>
      </c>
      <c r="K123" s="22"/>
      <c r="L123" s="1"/>
    </row>
    <row r="124" spans="2:12" ht="27.75" customHeight="1" outlineLevel="1" x14ac:dyDescent="0.2">
      <c r="B124" s="3" t="s">
        <v>196</v>
      </c>
      <c r="C124" s="419">
        <v>43280</v>
      </c>
      <c r="D124" s="420">
        <v>43830</v>
      </c>
      <c r="E124" s="425">
        <v>40</v>
      </c>
      <c r="F124" s="269">
        <v>135117</v>
      </c>
      <c r="G124" s="269"/>
      <c r="H124" s="269">
        <v>1992.98</v>
      </c>
      <c r="I124" s="130">
        <f t="shared" si="5"/>
        <v>137109.98000000001</v>
      </c>
      <c r="J124" s="130">
        <f t="shared" si="4"/>
        <v>137109.98000000001</v>
      </c>
      <c r="K124" s="22"/>
      <c r="L124" s="1"/>
    </row>
    <row r="125" spans="2:12" ht="27.75" customHeight="1" outlineLevel="1" x14ac:dyDescent="0.2">
      <c r="B125" s="3" t="s">
        <v>197</v>
      </c>
      <c r="C125" s="419">
        <v>43280</v>
      </c>
      <c r="D125" s="420">
        <v>43830</v>
      </c>
      <c r="E125" s="425">
        <v>40</v>
      </c>
      <c r="F125" s="269">
        <v>162144.07</v>
      </c>
      <c r="G125" s="269"/>
      <c r="H125" s="269">
        <v>2391.63</v>
      </c>
      <c r="I125" s="130">
        <f t="shared" si="5"/>
        <v>164535.70000000001</v>
      </c>
      <c r="J125" s="130">
        <f t="shared" si="4"/>
        <v>164535.70000000001</v>
      </c>
      <c r="K125" s="22"/>
      <c r="L125" s="1"/>
    </row>
    <row r="126" spans="2:12" ht="27.75" customHeight="1" outlineLevel="1" x14ac:dyDescent="0.2">
      <c r="B126" s="3" t="s">
        <v>198</v>
      </c>
      <c r="C126" s="419">
        <v>43280</v>
      </c>
      <c r="D126" s="420">
        <v>43830</v>
      </c>
      <c r="E126" s="425">
        <v>40</v>
      </c>
      <c r="F126" s="269">
        <v>135117</v>
      </c>
      <c r="G126" s="269"/>
      <c r="H126" s="269">
        <v>1992.97</v>
      </c>
      <c r="I126" s="130">
        <f t="shared" si="5"/>
        <v>137109.97</v>
      </c>
      <c r="J126" s="130">
        <f t="shared" si="4"/>
        <v>137109.97</v>
      </c>
      <c r="K126" s="22"/>
      <c r="L126" s="1"/>
    </row>
    <row r="127" spans="2:12" ht="27.75" customHeight="1" outlineLevel="1" x14ac:dyDescent="0.2">
      <c r="B127" s="3" t="s">
        <v>199</v>
      </c>
      <c r="C127" s="419">
        <v>43280</v>
      </c>
      <c r="D127" s="420">
        <v>43830</v>
      </c>
      <c r="E127" s="425">
        <v>40</v>
      </c>
      <c r="F127" s="269">
        <v>135117</v>
      </c>
      <c r="G127" s="269"/>
      <c r="H127" s="269">
        <v>1992.97</v>
      </c>
      <c r="I127" s="130">
        <f t="shared" si="5"/>
        <v>137109.97</v>
      </c>
      <c r="J127" s="130">
        <f t="shared" si="4"/>
        <v>137109.97</v>
      </c>
      <c r="K127" s="22"/>
      <c r="L127" s="1"/>
    </row>
    <row r="128" spans="2:12" ht="27.75" customHeight="1" outlineLevel="1" x14ac:dyDescent="0.2">
      <c r="B128" s="3" t="s">
        <v>200</v>
      </c>
      <c r="C128" s="419">
        <v>43280</v>
      </c>
      <c r="D128" s="420">
        <v>43830</v>
      </c>
      <c r="E128" s="425">
        <v>40</v>
      </c>
      <c r="F128" s="269">
        <v>135117</v>
      </c>
      <c r="G128" s="269"/>
      <c r="H128" s="269">
        <v>1992.98</v>
      </c>
      <c r="I128" s="130">
        <f t="shared" si="5"/>
        <v>137109.98000000001</v>
      </c>
      <c r="J128" s="130">
        <f t="shared" si="4"/>
        <v>137109.98000000001</v>
      </c>
      <c r="K128" s="22"/>
      <c r="L128" s="1"/>
    </row>
    <row r="129" spans="2:12" ht="27.75" customHeight="1" outlineLevel="1" x14ac:dyDescent="0.2">
      <c r="B129" s="3" t="s">
        <v>201</v>
      </c>
      <c r="C129" s="419">
        <v>43280</v>
      </c>
      <c r="D129" s="420">
        <v>43830</v>
      </c>
      <c r="E129" s="425">
        <v>40</v>
      </c>
      <c r="F129" s="269">
        <v>162144.07</v>
      </c>
      <c r="G129" s="269"/>
      <c r="H129" s="269">
        <v>2391.63</v>
      </c>
      <c r="I129" s="130">
        <f t="shared" si="5"/>
        <v>164535.70000000001</v>
      </c>
      <c r="J129" s="130">
        <f t="shared" si="4"/>
        <v>164535.70000000001</v>
      </c>
      <c r="K129" s="22"/>
      <c r="L129" s="1"/>
    </row>
    <row r="130" spans="2:12" ht="27.75" customHeight="1" outlineLevel="1" x14ac:dyDescent="0.2">
      <c r="B130" s="3" t="s">
        <v>202</v>
      </c>
      <c r="C130" s="419">
        <v>43280</v>
      </c>
      <c r="D130" s="420">
        <v>43830</v>
      </c>
      <c r="E130" s="425">
        <v>40</v>
      </c>
      <c r="F130" s="269">
        <v>135117</v>
      </c>
      <c r="G130" s="269"/>
      <c r="H130" s="269">
        <v>1992.98</v>
      </c>
      <c r="I130" s="130">
        <f t="shared" si="5"/>
        <v>137109.98000000001</v>
      </c>
      <c r="J130" s="130">
        <f t="shared" si="4"/>
        <v>137109.98000000001</v>
      </c>
      <c r="K130" s="22"/>
      <c r="L130" s="1"/>
    </row>
    <row r="131" spans="2:12" ht="27.75" customHeight="1" outlineLevel="1" x14ac:dyDescent="0.2">
      <c r="B131" s="3" t="s">
        <v>203</v>
      </c>
      <c r="C131" s="419">
        <v>43280</v>
      </c>
      <c r="D131" s="420">
        <v>43830</v>
      </c>
      <c r="E131" s="425">
        <v>40</v>
      </c>
      <c r="F131" s="269">
        <v>135117</v>
      </c>
      <c r="G131" s="269"/>
      <c r="H131" s="269">
        <v>1992.97</v>
      </c>
      <c r="I131" s="130">
        <f t="shared" si="5"/>
        <v>137109.97</v>
      </c>
      <c r="J131" s="130">
        <f t="shared" si="4"/>
        <v>137109.97</v>
      </c>
      <c r="K131" s="22"/>
      <c r="L131" s="1"/>
    </row>
    <row r="132" spans="2:12" ht="27.75" customHeight="1" outlineLevel="1" x14ac:dyDescent="0.2">
      <c r="B132" s="3" t="s">
        <v>204</v>
      </c>
      <c r="C132" s="419">
        <v>43280</v>
      </c>
      <c r="D132" s="420">
        <v>43830</v>
      </c>
      <c r="E132" s="425">
        <v>40</v>
      </c>
      <c r="F132" s="269">
        <v>135117</v>
      </c>
      <c r="G132" s="269"/>
      <c r="H132" s="269">
        <v>1992.98</v>
      </c>
      <c r="I132" s="130">
        <f t="shared" si="5"/>
        <v>137109.98000000001</v>
      </c>
      <c r="J132" s="130">
        <f t="shared" si="4"/>
        <v>137109.98000000001</v>
      </c>
      <c r="K132" s="22"/>
      <c r="L132" s="1"/>
    </row>
    <row r="133" spans="2:12" ht="27.75" customHeight="1" outlineLevel="1" x14ac:dyDescent="0.2">
      <c r="B133" s="3" t="s">
        <v>205</v>
      </c>
      <c r="C133" s="419">
        <v>43280</v>
      </c>
      <c r="D133" s="420">
        <v>43830</v>
      </c>
      <c r="E133" s="425">
        <v>40</v>
      </c>
      <c r="F133" s="269">
        <v>135117</v>
      </c>
      <c r="G133" s="269"/>
      <c r="H133" s="269">
        <v>1992.97</v>
      </c>
      <c r="I133" s="130">
        <f t="shared" si="5"/>
        <v>137109.97</v>
      </c>
      <c r="J133" s="130">
        <f t="shared" si="4"/>
        <v>137109.97</v>
      </c>
      <c r="K133" s="22"/>
      <c r="L133" s="1"/>
    </row>
    <row r="134" spans="2:12" ht="27.75" customHeight="1" outlineLevel="1" x14ac:dyDescent="0.2">
      <c r="B134" s="3" t="s">
        <v>206</v>
      </c>
      <c r="C134" s="419">
        <v>43280</v>
      </c>
      <c r="D134" s="420">
        <v>43830</v>
      </c>
      <c r="E134" s="425">
        <v>40</v>
      </c>
      <c r="F134" s="269">
        <v>135117</v>
      </c>
      <c r="G134" s="269"/>
      <c r="H134" s="269">
        <v>1992.98</v>
      </c>
      <c r="I134" s="130">
        <f t="shared" si="5"/>
        <v>137109.98000000001</v>
      </c>
      <c r="J134" s="130">
        <f t="shared" si="4"/>
        <v>137109.98000000001</v>
      </c>
      <c r="K134" s="22"/>
      <c r="L134" s="1"/>
    </row>
    <row r="135" spans="2:12" ht="27.75" customHeight="1" outlineLevel="1" x14ac:dyDescent="0.2">
      <c r="B135" s="3" t="s">
        <v>207</v>
      </c>
      <c r="C135" s="419">
        <v>43280</v>
      </c>
      <c r="D135" s="420">
        <v>43830</v>
      </c>
      <c r="E135" s="425">
        <v>40</v>
      </c>
      <c r="F135" s="269">
        <v>135117</v>
      </c>
      <c r="G135" s="269"/>
      <c r="H135" s="269">
        <v>1992.97</v>
      </c>
      <c r="I135" s="130">
        <f t="shared" si="5"/>
        <v>137109.97</v>
      </c>
      <c r="J135" s="130">
        <f t="shared" si="4"/>
        <v>137109.97</v>
      </c>
      <c r="K135" s="22"/>
      <c r="L135" s="1"/>
    </row>
    <row r="136" spans="2:12" ht="27.75" customHeight="1" outlineLevel="1" x14ac:dyDescent="0.2">
      <c r="B136" s="3" t="s">
        <v>208</v>
      </c>
      <c r="C136" s="419">
        <v>43280</v>
      </c>
      <c r="D136" s="420">
        <v>43830</v>
      </c>
      <c r="E136" s="425">
        <v>40</v>
      </c>
      <c r="F136" s="269">
        <v>135117</v>
      </c>
      <c r="G136" s="269"/>
      <c r="H136" s="269">
        <v>1992.97</v>
      </c>
      <c r="I136" s="130">
        <f t="shared" si="5"/>
        <v>137109.97</v>
      </c>
      <c r="J136" s="130">
        <f t="shared" si="4"/>
        <v>137109.97</v>
      </c>
      <c r="K136" s="22"/>
      <c r="L136" s="1"/>
    </row>
    <row r="137" spans="2:12" ht="27.75" customHeight="1" outlineLevel="1" x14ac:dyDescent="0.2">
      <c r="B137" s="3" t="s">
        <v>209</v>
      </c>
      <c r="C137" s="419">
        <v>43280</v>
      </c>
      <c r="D137" s="420">
        <v>43830</v>
      </c>
      <c r="E137" s="425">
        <v>40</v>
      </c>
      <c r="F137" s="269">
        <v>135117</v>
      </c>
      <c r="G137" s="269"/>
      <c r="H137" s="269">
        <v>1992.97</v>
      </c>
      <c r="I137" s="130">
        <f t="shared" si="5"/>
        <v>137109.97</v>
      </c>
      <c r="J137" s="130">
        <f t="shared" si="4"/>
        <v>137109.97</v>
      </c>
      <c r="K137" s="22"/>
      <c r="L137" s="1"/>
    </row>
    <row r="138" spans="2:12" ht="27.75" customHeight="1" outlineLevel="1" x14ac:dyDescent="0.2">
      <c r="B138" s="3" t="s">
        <v>210</v>
      </c>
      <c r="C138" s="419">
        <v>43280</v>
      </c>
      <c r="D138" s="420">
        <v>43830</v>
      </c>
      <c r="E138" s="425">
        <v>40</v>
      </c>
      <c r="F138" s="269">
        <v>135117</v>
      </c>
      <c r="G138" s="269"/>
      <c r="H138" s="269">
        <v>1992.97</v>
      </c>
      <c r="I138" s="130">
        <f t="shared" si="5"/>
        <v>137109.97</v>
      </c>
      <c r="J138" s="130">
        <f t="shared" si="4"/>
        <v>137109.97</v>
      </c>
      <c r="K138" s="22"/>
      <c r="L138" s="1"/>
    </row>
    <row r="139" spans="2:12" ht="12" customHeight="1" outlineLevel="1" x14ac:dyDescent="0.2">
      <c r="B139" s="3" t="s">
        <v>225</v>
      </c>
      <c r="C139" s="419">
        <v>43280</v>
      </c>
      <c r="D139" s="420">
        <v>43830</v>
      </c>
      <c r="E139" s="425">
        <v>40</v>
      </c>
      <c r="F139" s="269">
        <v>135117</v>
      </c>
      <c r="G139" s="269"/>
      <c r="H139" s="269">
        <v>1992.98</v>
      </c>
      <c r="I139" s="130">
        <f t="shared" ref="I139:I170" si="6">G139+F139+H139</f>
        <v>137109.98000000001</v>
      </c>
      <c r="J139" s="130">
        <f t="shared" ref="J139:J202" si="7">I139</f>
        <v>137109.98000000001</v>
      </c>
      <c r="K139" s="22"/>
      <c r="L139" s="1"/>
    </row>
    <row r="140" spans="2:12" ht="27.75" customHeight="1" outlineLevel="1" x14ac:dyDescent="0.2">
      <c r="B140" s="3" t="s">
        <v>211</v>
      </c>
      <c r="C140" s="419">
        <v>43280</v>
      </c>
      <c r="D140" s="420">
        <v>43830</v>
      </c>
      <c r="E140" s="425">
        <v>40</v>
      </c>
      <c r="F140" s="269">
        <v>162144.07</v>
      </c>
      <c r="G140" s="269"/>
      <c r="H140" s="269">
        <v>2391.62</v>
      </c>
      <c r="I140" s="130">
        <f t="shared" si="6"/>
        <v>164535.69</v>
      </c>
      <c r="J140" s="130">
        <f t="shared" si="7"/>
        <v>164535.69</v>
      </c>
      <c r="K140" s="22"/>
      <c r="L140" s="1"/>
    </row>
    <row r="141" spans="2:12" ht="27.75" customHeight="1" outlineLevel="1" x14ac:dyDescent="0.2">
      <c r="B141" s="3" t="s">
        <v>212</v>
      </c>
      <c r="C141" s="419">
        <v>43280</v>
      </c>
      <c r="D141" s="420">
        <v>43830</v>
      </c>
      <c r="E141" s="425">
        <v>40</v>
      </c>
      <c r="F141" s="269">
        <v>135117</v>
      </c>
      <c r="G141" s="269"/>
      <c r="H141" s="269">
        <v>1992.98</v>
      </c>
      <c r="I141" s="130">
        <f t="shared" si="6"/>
        <v>137109.98000000001</v>
      </c>
      <c r="J141" s="130">
        <f t="shared" si="7"/>
        <v>137109.98000000001</v>
      </c>
      <c r="K141" s="22"/>
      <c r="L141" s="1"/>
    </row>
    <row r="142" spans="2:12" ht="27.75" customHeight="1" outlineLevel="1" x14ac:dyDescent="0.2">
      <c r="B142" s="3" t="s">
        <v>213</v>
      </c>
      <c r="C142" s="419">
        <v>43280</v>
      </c>
      <c r="D142" s="420">
        <v>43830</v>
      </c>
      <c r="E142" s="425">
        <v>40</v>
      </c>
      <c r="F142" s="269">
        <v>135117</v>
      </c>
      <c r="G142" s="269"/>
      <c r="H142" s="269">
        <v>1992.98</v>
      </c>
      <c r="I142" s="130">
        <f t="shared" si="6"/>
        <v>137109.98000000001</v>
      </c>
      <c r="J142" s="130">
        <f t="shared" si="7"/>
        <v>137109.98000000001</v>
      </c>
      <c r="K142" s="22"/>
      <c r="L142" s="1"/>
    </row>
    <row r="143" spans="2:12" ht="27.75" customHeight="1" outlineLevel="1" x14ac:dyDescent="0.2">
      <c r="B143" s="3" t="s">
        <v>214</v>
      </c>
      <c r="C143" s="419">
        <v>43280</v>
      </c>
      <c r="D143" s="420">
        <v>43830</v>
      </c>
      <c r="E143" s="425">
        <v>40</v>
      </c>
      <c r="F143" s="269">
        <v>135117</v>
      </c>
      <c r="G143" s="269"/>
      <c r="H143" s="269">
        <v>1992.98</v>
      </c>
      <c r="I143" s="130">
        <f t="shared" si="6"/>
        <v>137109.98000000001</v>
      </c>
      <c r="J143" s="130">
        <f t="shared" si="7"/>
        <v>137109.98000000001</v>
      </c>
      <c r="K143" s="22"/>
      <c r="L143" s="1"/>
    </row>
    <row r="144" spans="2:12" ht="27.75" customHeight="1" outlineLevel="1" x14ac:dyDescent="0.2">
      <c r="B144" s="3" t="s">
        <v>215</v>
      </c>
      <c r="C144" s="419">
        <v>43280</v>
      </c>
      <c r="D144" s="420">
        <v>43830</v>
      </c>
      <c r="E144" s="425">
        <v>40</v>
      </c>
      <c r="F144" s="269">
        <v>162144.06</v>
      </c>
      <c r="G144" s="269"/>
      <c r="H144" s="269">
        <v>2391.62</v>
      </c>
      <c r="I144" s="130">
        <f t="shared" si="6"/>
        <v>164535.67999999999</v>
      </c>
      <c r="J144" s="130">
        <f t="shared" si="7"/>
        <v>164535.67999999999</v>
      </c>
      <c r="K144" s="22"/>
      <c r="L144" s="1"/>
    </row>
    <row r="145" spans="2:12" ht="27.75" customHeight="1" outlineLevel="1" x14ac:dyDescent="0.2">
      <c r="B145" s="3" t="s">
        <v>216</v>
      </c>
      <c r="C145" s="419">
        <v>43280</v>
      </c>
      <c r="D145" s="420">
        <v>43830</v>
      </c>
      <c r="E145" s="425">
        <v>40</v>
      </c>
      <c r="F145" s="269">
        <v>135117</v>
      </c>
      <c r="G145" s="269"/>
      <c r="H145" s="269">
        <v>1992.97</v>
      </c>
      <c r="I145" s="130">
        <f t="shared" si="6"/>
        <v>137109.97</v>
      </c>
      <c r="J145" s="130">
        <f t="shared" si="7"/>
        <v>137109.97</v>
      </c>
      <c r="K145" s="22"/>
      <c r="L145" s="1"/>
    </row>
    <row r="146" spans="2:12" ht="27.75" customHeight="1" outlineLevel="1" x14ac:dyDescent="0.2">
      <c r="B146" s="3" t="s">
        <v>217</v>
      </c>
      <c r="C146" s="419">
        <v>43280</v>
      </c>
      <c r="D146" s="420">
        <v>43830</v>
      </c>
      <c r="E146" s="425">
        <v>40</v>
      </c>
      <c r="F146" s="269">
        <v>162144.07</v>
      </c>
      <c r="G146" s="269"/>
      <c r="H146" s="269">
        <v>2391.63</v>
      </c>
      <c r="I146" s="130">
        <f t="shared" si="6"/>
        <v>164535.70000000001</v>
      </c>
      <c r="J146" s="130">
        <f t="shared" si="7"/>
        <v>164535.70000000001</v>
      </c>
      <c r="K146" s="22"/>
      <c r="L146" s="1"/>
    </row>
    <row r="147" spans="2:12" ht="27.75" customHeight="1" outlineLevel="1" x14ac:dyDescent="0.2">
      <c r="B147" s="3" t="s">
        <v>218</v>
      </c>
      <c r="C147" s="419">
        <v>43280</v>
      </c>
      <c r="D147" s="420">
        <v>43830</v>
      </c>
      <c r="E147" s="425">
        <v>40</v>
      </c>
      <c r="F147" s="269">
        <v>135117</v>
      </c>
      <c r="G147" s="269"/>
      <c r="H147" s="269">
        <v>1992.98</v>
      </c>
      <c r="I147" s="130">
        <f t="shared" si="6"/>
        <v>137109.98000000001</v>
      </c>
      <c r="J147" s="130">
        <f t="shared" si="7"/>
        <v>137109.98000000001</v>
      </c>
      <c r="K147" s="22"/>
      <c r="L147" s="1"/>
    </row>
    <row r="148" spans="2:12" ht="27.75" customHeight="1" outlineLevel="1" x14ac:dyDescent="0.2">
      <c r="B148" s="3" t="s">
        <v>219</v>
      </c>
      <c r="C148" s="419">
        <v>43280</v>
      </c>
      <c r="D148" s="420">
        <v>43830</v>
      </c>
      <c r="E148" s="425">
        <v>40</v>
      </c>
      <c r="F148" s="269">
        <v>135117</v>
      </c>
      <c r="G148" s="269"/>
      <c r="H148" s="269">
        <v>1992.98</v>
      </c>
      <c r="I148" s="130">
        <f t="shared" si="6"/>
        <v>137109.98000000001</v>
      </c>
      <c r="J148" s="130">
        <f t="shared" si="7"/>
        <v>137109.98000000001</v>
      </c>
      <c r="K148" s="22"/>
      <c r="L148" s="1"/>
    </row>
    <row r="149" spans="2:12" ht="27.75" customHeight="1" outlineLevel="1" x14ac:dyDescent="0.2">
      <c r="B149" s="3" t="s">
        <v>220</v>
      </c>
      <c r="C149" s="419">
        <v>43280</v>
      </c>
      <c r="D149" s="420">
        <v>43830</v>
      </c>
      <c r="E149" s="425">
        <v>40</v>
      </c>
      <c r="F149" s="269">
        <v>135117</v>
      </c>
      <c r="G149" s="269"/>
      <c r="H149" s="269">
        <v>1992.97</v>
      </c>
      <c r="I149" s="130">
        <f t="shared" si="6"/>
        <v>137109.97</v>
      </c>
      <c r="J149" s="130">
        <f t="shared" si="7"/>
        <v>137109.97</v>
      </c>
      <c r="K149" s="22"/>
      <c r="L149" s="1"/>
    </row>
    <row r="150" spans="2:12" ht="27.75" customHeight="1" outlineLevel="1" x14ac:dyDescent="0.2">
      <c r="B150" s="3" t="s">
        <v>221</v>
      </c>
      <c r="C150" s="419">
        <v>43280</v>
      </c>
      <c r="D150" s="420">
        <v>43830</v>
      </c>
      <c r="E150" s="425">
        <v>40</v>
      </c>
      <c r="F150" s="269">
        <v>135117</v>
      </c>
      <c r="G150" s="269"/>
      <c r="H150" s="269">
        <v>1992.98</v>
      </c>
      <c r="I150" s="130">
        <f t="shared" si="6"/>
        <v>137109.98000000001</v>
      </c>
      <c r="J150" s="130">
        <f t="shared" si="7"/>
        <v>137109.98000000001</v>
      </c>
      <c r="K150" s="22"/>
      <c r="L150" s="1"/>
    </row>
    <row r="151" spans="2:12" ht="27.75" customHeight="1" outlineLevel="1" x14ac:dyDescent="0.2">
      <c r="B151" s="3" t="s">
        <v>222</v>
      </c>
      <c r="C151" s="419">
        <v>43280</v>
      </c>
      <c r="D151" s="420">
        <v>43830</v>
      </c>
      <c r="E151" s="425">
        <v>40</v>
      </c>
      <c r="F151" s="269">
        <v>135117</v>
      </c>
      <c r="G151" s="269"/>
      <c r="H151" s="269">
        <v>1992.97</v>
      </c>
      <c r="I151" s="130">
        <f t="shared" si="6"/>
        <v>137109.97</v>
      </c>
      <c r="J151" s="130">
        <f t="shared" si="7"/>
        <v>137109.97</v>
      </c>
      <c r="K151" s="22"/>
      <c r="L151" s="1"/>
    </row>
    <row r="152" spans="2:12" ht="27.75" customHeight="1" outlineLevel="1" x14ac:dyDescent="0.2">
      <c r="B152" s="3" t="s">
        <v>223</v>
      </c>
      <c r="C152" s="419">
        <v>43280</v>
      </c>
      <c r="D152" s="420">
        <v>43830</v>
      </c>
      <c r="E152" s="425">
        <v>40</v>
      </c>
      <c r="F152" s="269">
        <v>135117</v>
      </c>
      <c r="G152" s="269"/>
      <c r="H152" s="269">
        <v>1992.98</v>
      </c>
      <c r="I152" s="130">
        <f t="shared" si="6"/>
        <v>137109.98000000001</v>
      </c>
      <c r="J152" s="130">
        <f t="shared" si="7"/>
        <v>137109.98000000001</v>
      </c>
      <c r="K152" s="22"/>
      <c r="L152" s="1"/>
    </row>
    <row r="153" spans="2:12" ht="27.75" customHeight="1" outlineLevel="1" x14ac:dyDescent="0.2">
      <c r="B153" s="3" t="s">
        <v>238</v>
      </c>
      <c r="C153" s="419">
        <v>43280</v>
      </c>
      <c r="D153" s="420">
        <v>43830</v>
      </c>
      <c r="E153" s="425">
        <v>40</v>
      </c>
      <c r="F153" s="268">
        <v>746037.82</v>
      </c>
      <c r="G153" s="269"/>
      <c r="H153" s="269">
        <f>10410.31+593.75</f>
        <v>11004.06</v>
      </c>
      <c r="I153" s="130">
        <f t="shared" si="6"/>
        <v>757041.88</v>
      </c>
      <c r="J153" s="130">
        <f t="shared" si="7"/>
        <v>757041.88</v>
      </c>
      <c r="K153" s="22"/>
      <c r="L153" s="1"/>
    </row>
    <row r="154" spans="2:12" ht="27.75" customHeight="1" outlineLevel="1" x14ac:dyDescent="0.2">
      <c r="B154" s="3" t="s">
        <v>239</v>
      </c>
      <c r="C154" s="419">
        <v>43281</v>
      </c>
      <c r="D154" s="420">
        <v>43830</v>
      </c>
      <c r="E154" s="425">
        <v>40</v>
      </c>
      <c r="F154" s="268">
        <v>746037.82</v>
      </c>
      <c r="G154" s="269"/>
      <c r="H154" s="269">
        <f>10410.31+593.75</f>
        <v>11004.06</v>
      </c>
      <c r="I154" s="130">
        <f t="shared" si="6"/>
        <v>757041.88</v>
      </c>
      <c r="J154" s="130">
        <f t="shared" si="7"/>
        <v>757041.88</v>
      </c>
      <c r="K154" s="22"/>
      <c r="L154" s="1"/>
    </row>
    <row r="155" spans="2:12" ht="27.75" customHeight="1" outlineLevel="1" x14ac:dyDescent="0.2">
      <c r="B155" s="3" t="s">
        <v>240</v>
      </c>
      <c r="C155" s="419">
        <v>43281</v>
      </c>
      <c r="D155" s="420">
        <v>43830</v>
      </c>
      <c r="E155" s="425">
        <v>40</v>
      </c>
      <c r="F155" s="268">
        <v>715231.21</v>
      </c>
      <c r="G155" s="269"/>
      <c r="H155" s="269">
        <f>9955.91+593.75</f>
        <v>10549.66</v>
      </c>
      <c r="I155" s="130">
        <f t="shared" si="6"/>
        <v>725780.87</v>
      </c>
      <c r="J155" s="130">
        <f t="shared" si="7"/>
        <v>725780.87</v>
      </c>
      <c r="K155" s="22"/>
      <c r="L155" s="1"/>
    </row>
    <row r="156" spans="2:12" ht="27.75" customHeight="1" outlineLevel="1" x14ac:dyDescent="0.2">
      <c r="B156" s="3" t="s">
        <v>241</v>
      </c>
      <c r="C156" s="419">
        <v>43281</v>
      </c>
      <c r="D156" s="420">
        <v>43830</v>
      </c>
      <c r="E156" s="425">
        <v>40</v>
      </c>
      <c r="F156" s="268">
        <v>498881.33</v>
      </c>
      <c r="G156" s="269"/>
      <c r="H156" s="269">
        <v>7952.25</v>
      </c>
      <c r="I156" s="130">
        <f t="shared" si="6"/>
        <v>506833.58</v>
      </c>
      <c r="J156" s="130">
        <f t="shared" si="7"/>
        <v>506833.58</v>
      </c>
      <c r="K156" s="22"/>
      <c r="L156" s="1"/>
    </row>
    <row r="157" spans="2:12" ht="31.5" customHeight="1" outlineLevel="1" x14ac:dyDescent="0.2">
      <c r="B157" s="3" t="s">
        <v>75</v>
      </c>
      <c r="C157" s="419">
        <v>43281</v>
      </c>
      <c r="D157" s="420">
        <v>43830</v>
      </c>
      <c r="E157" s="425">
        <v>40</v>
      </c>
      <c r="F157" s="269">
        <v>59359.05</v>
      </c>
      <c r="G157" s="269">
        <v>875.54</v>
      </c>
      <c r="H157" s="269">
        <v>584.1</v>
      </c>
      <c r="I157" s="130">
        <f t="shared" si="6"/>
        <v>60818.69</v>
      </c>
      <c r="J157" s="130">
        <f t="shared" si="7"/>
        <v>60818.69</v>
      </c>
      <c r="K157" s="22"/>
      <c r="L157" s="1"/>
    </row>
    <row r="158" spans="2:12" ht="34.5" customHeight="1" outlineLevel="1" x14ac:dyDescent="0.2">
      <c r="B158" s="3" t="s">
        <v>29</v>
      </c>
      <c r="C158" s="419">
        <v>43069</v>
      </c>
      <c r="D158" s="419">
        <v>43464</v>
      </c>
      <c r="E158" s="425">
        <v>50</v>
      </c>
      <c r="F158" s="269">
        <f>1828699.62+460300.38</f>
        <v>2289000</v>
      </c>
      <c r="G158" s="267">
        <v>19569355.350000001</v>
      </c>
      <c r="H158" s="269">
        <f>41142.03+500290.27+1442043.48+293766.09</f>
        <v>2277241.87</v>
      </c>
      <c r="I158" s="130">
        <f t="shared" si="6"/>
        <v>24135597.220000003</v>
      </c>
      <c r="J158" s="130">
        <f t="shared" si="7"/>
        <v>24135597.220000003</v>
      </c>
      <c r="K158" s="4"/>
      <c r="L158" s="1"/>
    </row>
    <row r="159" spans="2:12" ht="27.75" customHeight="1" outlineLevel="1" x14ac:dyDescent="0.2">
      <c r="B159" s="6" t="s">
        <v>19</v>
      </c>
      <c r="C159" s="419">
        <v>42674</v>
      </c>
      <c r="D159" s="420">
        <v>43830</v>
      </c>
      <c r="E159" s="425">
        <v>45</v>
      </c>
      <c r="F159" s="269">
        <v>29999152.550000001</v>
      </c>
      <c r="G159" s="269">
        <f>95787807.63+19171271.22+47818712.57+16863329.81+82013971.52+76435731.88+16440675+59699933.19+450337.5</f>
        <v>414681770.31999999</v>
      </c>
      <c r="H159" s="269">
        <f>28393126.87+12138785.06+2762993.51+2432526.53+2463689.24+2238316.11+2460368.89+1787065.04+1720876.28+2746129.26+4105308.63+4445189.4+4023163.85+2682495.36+1736907.48</f>
        <v>76136941.510000005</v>
      </c>
      <c r="I159" s="130">
        <f t="shared" si="6"/>
        <v>520817864.38</v>
      </c>
      <c r="J159" s="130">
        <f t="shared" si="7"/>
        <v>520817864.38</v>
      </c>
      <c r="K159" s="1"/>
      <c r="L159" s="1"/>
    </row>
    <row r="160" spans="2:12" ht="12.75" customHeight="1" outlineLevel="1" x14ac:dyDescent="0.2">
      <c r="B160" s="6" t="s">
        <v>76</v>
      </c>
      <c r="C160" s="420">
        <v>41453</v>
      </c>
      <c r="D160" s="420">
        <v>43830</v>
      </c>
      <c r="E160" s="425">
        <v>95</v>
      </c>
      <c r="F160" s="269">
        <f>3227106.13+248810.97+774558.62</f>
        <v>4250475.72</v>
      </c>
      <c r="G160" s="269"/>
      <c r="H160" s="269">
        <f>62694.52+4375.83+77241+89717.16+103097.2+49607.74+41319.98</f>
        <v>428053.42999999993</v>
      </c>
      <c r="I160" s="130">
        <f t="shared" si="6"/>
        <v>4678529.1499999994</v>
      </c>
      <c r="J160" s="130">
        <f t="shared" si="7"/>
        <v>4678529.1499999994</v>
      </c>
      <c r="K160" s="1"/>
      <c r="L160" s="1"/>
    </row>
    <row r="161" spans="1:41" ht="12.75" customHeight="1" outlineLevel="1" x14ac:dyDescent="0.2">
      <c r="B161" s="6" t="s">
        <v>315</v>
      </c>
      <c r="C161" s="420">
        <v>43039</v>
      </c>
      <c r="D161" s="420">
        <v>44196</v>
      </c>
      <c r="E161" s="425">
        <v>40</v>
      </c>
      <c r="F161" s="269">
        <f>10164299.64+852649.51</f>
        <v>11016949.15</v>
      </c>
      <c r="G161" s="269"/>
      <c r="H161" s="271">
        <f>162500+37464.63+66355.04+330510.14+325192.48+328677.01+1652542.5+330307.52+550847.5+370629.32+393204.71+335377.35+210467.83+106959.07</f>
        <v>5201035.0999999996</v>
      </c>
      <c r="I161" s="130">
        <f t="shared" si="6"/>
        <v>16217984.25</v>
      </c>
      <c r="J161" s="130">
        <f t="shared" si="7"/>
        <v>16217984.25</v>
      </c>
      <c r="K161" s="24"/>
      <c r="L161" s="1"/>
    </row>
    <row r="162" spans="1:41" ht="24" outlineLevel="1" x14ac:dyDescent="0.2">
      <c r="B162" s="3" t="s">
        <v>77</v>
      </c>
      <c r="C162" s="419">
        <v>42654</v>
      </c>
      <c r="D162" s="420">
        <v>44196</v>
      </c>
      <c r="E162" s="425">
        <v>40</v>
      </c>
      <c r="F162" s="271">
        <f>4525233.81+390809.21+1340067.91</f>
        <v>6256110.9299999997</v>
      </c>
      <c r="G162" s="269"/>
      <c r="H162" s="269">
        <f>92277.64+9434.01+112911.81+125806.59+142762.4+486192.99+117164.98+159023.14</f>
        <v>1245573.56</v>
      </c>
      <c r="I162" s="130">
        <f t="shared" si="6"/>
        <v>7501684.4900000002</v>
      </c>
      <c r="J162" s="130">
        <f t="shared" si="7"/>
        <v>7501684.4900000002</v>
      </c>
      <c r="K162" s="4"/>
      <c r="L162" s="1"/>
    </row>
    <row r="163" spans="1:41" outlineLevel="1" x14ac:dyDescent="0.2">
      <c r="B163" s="7" t="s">
        <v>92</v>
      </c>
      <c r="C163" s="419">
        <v>43039</v>
      </c>
      <c r="D163" s="419">
        <v>43738</v>
      </c>
      <c r="E163" s="425">
        <v>50</v>
      </c>
      <c r="F163" s="269">
        <f>858516.91+4568150.05</f>
        <v>5426666.96</v>
      </c>
      <c r="G163" s="269">
        <v>10440016.949999999</v>
      </c>
      <c r="H163" s="269">
        <f>55924.56+12663.12+772.8+139405.06+466000+100989.35+114972.34</f>
        <v>890727.23</v>
      </c>
      <c r="I163" s="130">
        <f t="shared" si="6"/>
        <v>16757411.140000001</v>
      </c>
      <c r="J163" s="130">
        <f t="shared" si="7"/>
        <v>16757411.140000001</v>
      </c>
      <c r="K163" s="4"/>
      <c r="L163" s="1"/>
    </row>
    <row r="164" spans="1:41" ht="12.75" customHeight="1" outlineLevel="1" x14ac:dyDescent="0.2">
      <c r="B164" s="3" t="s">
        <v>78</v>
      </c>
      <c r="C164" s="419">
        <v>43039</v>
      </c>
      <c r="D164" s="419">
        <v>43738</v>
      </c>
      <c r="E164" s="425">
        <v>50</v>
      </c>
      <c r="F164" s="269">
        <f>8752097.25+872320.58+2841008.25</f>
        <v>12465426.08</v>
      </c>
      <c r="G164" s="269">
        <f>1282318.26</f>
        <v>1282318.26</v>
      </c>
      <c r="H164" s="271">
        <f>183865.03+19876.27+220078.57+43.6+243318.14+112.81+268076.7+114.05+196465.29+75.62+118787.26+38.43</f>
        <v>1250851.7700000003</v>
      </c>
      <c r="I164" s="130">
        <f t="shared" si="6"/>
        <v>14998596.109999999</v>
      </c>
      <c r="J164" s="130">
        <f t="shared" si="7"/>
        <v>14998596.109999999</v>
      </c>
      <c r="K164" s="24"/>
      <c r="L164" s="1"/>
    </row>
    <row r="165" spans="1:41" ht="33.75" customHeight="1" outlineLevel="1" x14ac:dyDescent="0.2">
      <c r="B165" s="3" t="s">
        <v>79</v>
      </c>
      <c r="C165" s="419">
        <v>43039</v>
      </c>
      <c r="D165" s="420">
        <v>43738</v>
      </c>
      <c r="E165" s="425">
        <v>50</v>
      </c>
      <c r="F165" s="269">
        <f>5391651.3+2279244.44</f>
        <v>7670895.7400000002</v>
      </c>
      <c r="G165" s="269"/>
      <c r="H165" s="271">
        <f>113145.72+11694.11+134720.55+293340.31+437971.24+146675.26</f>
        <v>1137547.19</v>
      </c>
      <c r="I165" s="130">
        <f t="shared" si="6"/>
        <v>8808442.9299999997</v>
      </c>
      <c r="J165" s="130">
        <f t="shared" si="7"/>
        <v>8808442.9299999997</v>
      </c>
      <c r="K165" s="24"/>
      <c r="L165" s="1"/>
    </row>
    <row r="166" spans="1:41" ht="21.75" customHeight="1" outlineLevel="1" x14ac:dyDescent="0.2">
      <c r="B166" s="7" t="s">
        <v>80</v>
      </c>
      <c r="C166" s="419">
        <v>43039</v>
      </c>
      <c r="D166" s="420">
        <v>43738</v>
      </c>
      <c r="E166" s="425">
        <v>50</v>
      </c>
      <c r="F166" s="269">
        <f>3891105.89+1473325.78</f>
        <v>5364431.67</v>
      </c>
      <c r="G166" s="269"/>
      <c r="H166" s="269">
        <f>79125.37+5922.67+93589.94+114919.09+150112.98+100464.82+180101.79</f>
        <v>724236.65999999992</v>
      </c>
      <c r="I166" s="130">
        <f t="shared" si="6"/>
        <v>6088668.3300000001</v>
      </c>
      <c r="J166" s="130">
        <f t="shared" si="7"/>
        <v>6088668.3300000001</v>
      </c>
      <c r="K166" s="1"/>
      <c r="L166" s="1"/>
    </row>
    <row r="167" spans="1:41" outlineLevel="1" x14ac:dyDescent="0.2">
      <c r="B167" s="3" t="s">
        <v>30</v>
      </c>
      <c r="C167" s="419">
        <v>43039</v>
      </c>
      <c r="D167" s="420">
        <v>43738</v>
      </c>
      <c r="E167" s="425">
        <v>50</v>
      </c>
      <c r="F167" s="269">
        <f>11733575.24+826526.46</f>
        <v>12560101.699999999</v>
      </c>
      <c r="G167" s="269">
        <f>36110025.12+21322447.9+177494.69+5559114.93+13177582.28</f>
        <v>76346664.919999987</v>
      </c>
      <c r="H167" s="271">
        <f>185261.5+887000+887000+1029096.98+1028750+576035.37+6521.23-13042.46+1158323.03+20087.76+1677449.27+7606.05+1190029.84+5070.7+715434.44</f>
        <v>9360623.709999999</v>
      </c>
      <c r="I167" s="130">
        <f t="shared" si="6"/>
        <v>98267390.329999983</v>
      </c>
      <c r="J167" s="130">
        <f t="shared" si="7"/>
        <v>98267390.329999983</v>
      </c>
      <c r="K167" s="4"/>
      <c r="L167" s="1"/>
    </row>
    <row r="168" spans="1:41" ht="21.75" customHeight="1" outlineLevel="1" x14ac:dyDescent="0.2">
      <c r="B168" s="7" t="s">
        <v>81</v>
      </c>
      <c r="C168" s="419">
        <v>42674</v>
      </c>
      <c r="D168" s="420">
        <v>43800</v>
      </c>
      <c r="E168" s="425">
        <v>95</v>
      </c>
      <c r="F168" s="269">
        <f>4087714.31+1467874.08</f>
        <v>5555588.3900000006</v>
      </c>
      <c r="G168" s="269"/>
      <c r="H168" s="269">
        <f>81944.93+7499.24+100966.17+119648.88+155496.41+104056.84+163384.98</f>
        <v>732997.45</v>
      </c>
      <c r="I168" s="130">
        <f t="shared" si="6"/>
        <v>6288585.8400000008</v>
      </c>
      <c r="J168" s="130">
        <f t="shared" si="7"/>
        <v>6288585.8400000008</v>
      </c>
      <c r="K168" s="1"/>
      <c r="L168" s="1"/>
    </row>
    <row r="169" spans="1:41" ht="21.75" customHeight="1" outlineLevel="1" x14ac:dyDescent="0.2">
      <c r="B169" s="7" t="s">
        <v>82</v>
      </c>
      <c r="C169" s="419">
        <v>43039</v>
      </c>
      <c r="D169" s="420">
        <v>43738</v>
      </c>
      <c r="E169" s="425">
        <v>50</v>
      </c>
      <c r="F169" s="269">
        <f>4777548.47+1788138.79</f>
        <v>6565687.2599999998</v>
      </c>
      <c r="G169" s="269"/>
      <c r="H169" s="269">
        <f>9737.68+96843.88+118362.66+140384.2+183744.22+122967.37+211732.13</f>
        <v>883772.14</v>
      </c>
      <c r="I169" s="130">
        <f t="shared" si="6"/>
        <v>7449459.3999999994</v>
      </c>
      <c r="J169" s="130">
        <f t="shared" si="7"/>
        <v>7449459.3999999994</v>
      </c>
      <c r="K169" s="1"/>
      <c r="L169" s="1"/>
    </row>
    <row r="170" spans="1:41" ht="21.75" customHeight="1" outlineLevel="1" x14ac:dyDescent="0.2">
      <c r="B170" s="7" t="s">
        <v>83</v>
      </c>
      <c r="C170" s="419">
        <v>43039</v>
      </c>
      <c r="D170" s="420">
        <v>43738</v>
      </c>
      <c r="E170" s="425">
        <v>50</v>
      </c>
      <c r="F170" s="269">
        <f>4951790.67+385811.66+1357511.5</f>
        <v>6695113.8300000001</v>
      </c>
      <c r="G170" s="269"/>
      <c r="H170" s="269">
        <f>98752.93+11167.41+124002.03+137665.32+159627.92+125404.49+65084.95</f>
        <v>721705.04999999993</v>
      </c>
      <c r="I170" s="130">
        <f t="shared" si="6"/>
        <v>7416818.8799999999</v>
      </c>
      <c r="J170" s="130">
        <f t="shared" si="7"/>
        <v>7416818.8799999999</v>
      </c>
      <c r="K170" s="1"/>
      <c r="L170" s="1"/>
    </row>
    <row r="171" spans="1:41" ht="12.75" customHeight="1" outlineLevel="1" x14ac:dyDescent="0.2">
      <c r="B171" s="7" t="s">
        <v>84</v>
      </c>
      <c r="C171" s="419">
        <v>43039</v>
      </c>
      <c r="D171" s="420">
        <v>44196</v>
      </c>
      <c r="E171" s="425">
        <v>40</v>
      </c>
      <c r="F171" s="269">
        <f>3684594.83+1263274.1</f>
        <v>4947868.93</v>
      </c>
      <c r="G171" s="267">
        <v>5750.7</v>
      </c>
      <c r="H171" s="269">
        <f>72981.07+9433.4+93652.26+109618.26+50.42+138503.63+21894.98+92681.4+36.94+121626.72</f>
        <v>660479.07999999984</v>
      </c>
      <c r="I171" s="130">
        <f t="shared" ref="I171:I202" si="8">G171+F171+H171</f>
        <v>5614098.71</v>
      </c>
      <c r="J171" s="130">
        <f t="shared" si="7"/>
        <v>5614098.71</v>
      </c>
      <c r="K171" s="1"/>
      <c r="L171" s="1"/>
    </row>
    <row r="172" spans="1:41" ht="25.5" customHeight="1" outlineLevel="1" x14ac:dyDescent="0.2">
      <c r="B172" s="3" t="s">
        <v>15</v>
      </c>
      <c r="C172" s="419">
        <v>43039</v>
      </c>
      <c r="D172" s="420">
        <v>43738</v>
      </c>
      <c r="E172" s="425">
        <v>50</v>
      </c>
      <c r="F172" s="269">
        <v>1016949.15</v>
      </c>
      <c r="G172" s="269"/>
      <c r="H172" s="269">
        <v>66915.25</v>
      </c>
      <c r="I172" s="130">
        <f t="shared" si="8"/>
        <v>1083864.3999999999</v>
      </c>
      <c r="J172" s="130">
        <f t="shared" si="7"/>
        <v>1083864.3999999999</v>
      </c>
      <c r="K172" s="4"/>
      <c r="L172" s="1"/>
    </row>
    <row r="173" spans="1:41" s="160" customFormat="1" ht="15" customHeight="1" outlineLevel="1" x14ac:dyDescent="0.2">
      <c r="A173" s="2"/>
      <c r="B173" s="7" t="s">
        <v>22</v>
      </c>
      <c r="C173" s="419">
        <v>41631</v>
      </c>
      <c r="D173" s="420">
        <v>43830</v>
      </c>
      <c r="E173" s="425">
        <v>50</v>
      </c>
      <c r="F173" s="266"/>
      <c r="G173" s="266">
        <v>950879.5</v>
      </c>
      <c r="H173" s="266">
        <f>4200994.8+113204.2</f>
        <v>4314199</v>
      </c>
      <c r="I173" s="130">
        <f t="shared" si="8"/>
        <v>5265078.5</v>
      </c>
      <c r="J173" s="130">
        <f t="shared" si="7"/>
        <v>5265078.5</v>
      </c>
      <c r="K173" s="4"/>
      <c r="L173" s="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159"/>
    </row>
    <row r="174" spans="1:41" ht="15" customHeight="1" outlineLevel="1" x14ac:dyDescent="0.2">
      <c r="B174" s="7" t="s">
        <v>85</v>
      </c>
      <c r="C174" s="420">
        <v>35034</v>
      </c>
      <c r="D174" s="419">
        <v>43830</v>
      </c>
      <c r="E174" s="425">
        <v>85</v>
      </c>
      <c r="F174" s="266">
        <f>1961349.58+397295.9+366561</f>
        <v>2725206.48</v>
      </c>
      <c r="G174" s="266"/>
      <c r="H174" s="266">
        <f>34790.02+5406.77+41128.54</f>
        <v>81325.329999999987</v>
      </c>
      <c r="I174" s="130">
        <f t="shared" si="8"/>
        <v>2806531.81</v>
      </c>
      <c r="J174" s="130">
        <f t="shared" si="7"/>
        <v>2806531.81</v>
      </c>
      <c r="K174" s="4"/>
      <c r="L174" s="1"/>
    </row>
    <row r="175" spans="1:41" ht="15" customHeight="1" outlineLevel="1" x14ac:dyDescent="0.2">
      <c r="B175" s="7" t="s">
        <v>535</v>
      </c>
      <c r="C175" s="420">
        <v>43039</v>
      </c>
      <c r="D175" s="420">
        <v>43830</v>
      </c>
      <c r="E175" s="425">
        <v>50</v>
      </c>
      <c r="F175" s="267">
        <v>4621871.34</v>
      </c>
      <c r="G175" s="266"/>
      <c r="H175" s="267">
        <v>66796.73</v>
      </c>
      <c r="I175" s="130">
        <f t="shared" si="8"/>
        <v>4688668.07</v>
      </c>
      <c r="J175" s="130">
        <f t="shared" si="7"/>
        <v>4688668.07</v>
      </c>
      <c r="K175" s="4"/>
      <c r="L175" s="1"/>
    </row>
    <row r="176" spans="1:41" ht="15" customHeight="1" outlineLevel="1" x14ac:dyDescent="0.2">
      <c r="B176" s="7" t="s">
        <v>536</v>
      </c>
      <c r="C176" s="420">
        <v>43404</v>
      </c>
      <c r="D176" s="420">
        <v>43829</v>
      </c>
      <c r="E176" s="425">
        <v>10</v>
      </c>
      <c r="F176" s="267">
        <v>11704507.779999999</v>
      </c>
      <c r="G176" s="266"/>
      <c r="H176" s="267">
        <v>273974.08</v>
      </c>
      <c r="I176" s="130">
        <f t="shared" si="8"/>
        <v>11978481.859999999</v>
      </c>
      <c r="J176" s="130">
        <f t="shared" si="7"/>
        <v>11978481.859999999</v>
      </c>
      <c r="K176" s="4"/>
      <c r="L176" s="1"/>
    </row>
    <row r="177" spans="2:12" ht="31.5" customHeight="1" outlineLevel="1" x14ac:dyDescent="0.2">
      <c r="B177" s="7" t="s">
        <v>537</v>
      </c>
      <c r="C177" s="420">
        <v>43404</v>
      </c>
      <c r="D177" s="420">
        <v>43829</v>
      </c>
      <c r="E177" s="425">
        <v>10</v>
      </c>
      <c r="F177" s="267">
        <v>1169936.24</v>
      </c>
      <c r="G177" s="266"/>
      <c r="H177" s="267">
        <v>14896.12</v>
      </c>
      <c r="I177" s="130">
        <f t="shared" si="8"/>
        <v>1184832.3600000001</v>
      </c>
      <c r="J177" s="130">
        <f t="shared" si="7"/>
        <v>1184832.3600000001</v>
      </c>
      <c r="K177" s="4"/>
      <c r="L177" s="1"/>
    </row>
    <row r="178" spans="2:12" ht="48.75" customHeight="1" outlineLevel="1" x14ac:dyDescent="0.2">
      <c r="B178" s="7" t="s">
        <v>539</v>
      </c>
      <c r="C178" s="420">
        <v>43404</v>
      </c>
      <c r="D178" s="420">
        <v>43829</v>
      </c>
      <c r="E178" s="425">
        <v>10</v>
      </c>
      <c r="F178" s="267">
        <v>10538165.48</v>
      </c>
      <c r="G178" s="266"/>
      <c r="H178" s="267">
        <v>249675.78</v>
      </c>
      <c r="I178" s="130">
        <f t="shared" si="8"/>
        <v>10787841.26</v>
      </c>
      <c r="J178" s="130">
        <f t="shared" si="7"/>
        <v>10787841.26</v>
      </c>
      <c r="K178" s="4"/>
      <c r="L178" s="1"/>
    </row>
    <row r="179" spans="2:12" ht="12" customHeight="1" outlineLevel="1" x14ac:dyDescent="0.2">
      <c r="B179" s="3" t="s">
        <v>86</v>
      </c>
      <c r="C179" s="420">
        <v>43374</v>
      </c>
      <c r="D179" s="420">
        <v>43829</v>
      </c>
      <c r="E179" s="425">
        <v>10</v>
      </c>
      <c r="F179" s="269">
        <f>7941123.94+717980.71+1810179.43+163729858.85</f>
        <v>174199142.93000001</v>
      </c>
      <c r="G179" s="269">
        <f>679774.12+1050861.48-676289.52</f>
        <v>1054346.08</v>
      </c>
      <c r="H179" s="269">
        <f>154421.95+3095006.42+57207.88+256702.08+352068.55+0.24</f>
        <v>3915407.12</v>
      </c>
      <c r="I179" s="130">
        <f t="shared" si="8"/>
        <v>179168896.13000003</v>
      </c>
      <c r="J179" s="130">
        <f t="shared" si="7"/>
        <v>179168896.13000003</v>
      </c>
      <c r="K179" s="4"/>
      <c r="L179" s="1"/>
    </row>
    <row r="180" spans="2:12" ht="12" customHeight="1" outlineLevel="1" x14ac:dyDescent="0.2">
      <c r="B180" s="3" t="s">
        <v>540</v>
      </c>
      <c r="C180" s="419">
        <v>43039</v>
      </c>
      <c r="D180" s="420">
        <v>43830</v>
      </c>
      <c r="E180" s="425">
        <v>80</v>
      </c>
      <c r="F180" s="267">
        <v>5030435.84</v>
      </c>
      <c r="G180" s="269"/>
      <c r="H180" s="269">
        <v>446765.97</v>
      </c>
      <c r="I180" s="130">
        <f t="shared" si="8"/>
        <v>5477201.8099999996</v>
      </c>
      <c r="J180" s="130">
        <f t="shared" si="7"/>
        <v>5477201.8099999996</v>
      </c>
      <c r="K180" s="4"/>
      <c r="L180" s="1"/>
    </row>
    <row r="181" spans="2:12" ht="12" customHeight="1" outlineLevel="1" x14ac:dyDescent="0.2">
      <c r="B181" s="3" t="s">
        <v>541</v>
      </c>
      <c r="C181" s="419">
        <v>43404</v>
      </c>
      <c r="D181" s="420">
        <v>43830</v>
      </c>
      <c r="E181" s="425">
        <v>10</v>
      </c>
      <c r="F181" s="267">
        <v>1583447.94</v>
      </c>
      <c r="G181" s="269"/>
      <c r="H181" s="267">
        <v>23139.23</v>
      </c>
      <c r="I181" s="130">
        <f t="shared" si="8"/>
        <v>1606587.17</v>
      </c>
      <c r="J181" s="130">
        <f t="shared" si="7"/>
        <v>1606587.17</v>
      </c>
      <c r="K181" s="4"/>
      <c r="L181" s="1"/>
    </row>
    <row r="182" spans="2:12" ht="24" outlineLevel="1" x14ac:dyDescent="0.2">
      <c r="B182" s="7" t="s">
        <v>87</v>
      </c>
      <c r="C182" s="419">
        <v>43404</v>
      </c>
      <c r="D182" s="420">
        <v>43830</v>
      </c>
      <c r="E182" s="425">
        <v>10</v>
      </c>
      <c r="F182" s="269">
        <f>1335706.66+284664.56+340979.02</f>
        <v>1961350.24</v>
      </c>
      <c r="G182" s="269"/>
      <c r="H182" s="269">
        <f>28929.91+38999.77</f>
        <v>67929.679999999993</v>
      </c>
      <c r="I182" s="130">
        <f t="shared" si="8"/>
        <v>2029279.92</v>
      </c>
      <c r="J182" s="130">
        <f t="shared" si="7"/>
        <v>2029279.92</v>
      </c>
      <c r="K182" s="4"/>
      <c r="L182" s="1"/>
    </row>
    <row r="183" spans="2:12" ht="36" outlineLevel="1" x14ac:dyDescent="0.2">
      <c r="B183" s="7" t="s">
        <v>88</v>
      </c>
      <c r="C183" s="419">
        <v>43039</v>
      </c>
      <c r="D183" s="420">
        <v>43800</v>
      </c>
      <c r="E183" s="425">
        <v>50</v>
      </c>
      <c r="F183" s="269">
        <f>1737186.98+284664.56+206765.78</f>
        <v>2228617.3199999998</v>
      </c>
      <c r="G183" s="269"/>
      <c r="H183" s="269">
        <f>32872.13+50722.99</f>
        <v>83595.12</v>
      </c>
      <c r="I183" s="130">
        <f t="shared" si="8"/>
        <v>2312212.44</v>
      </c>
      <c r="J183" s="130">
        <f t="shared" si="7"/>
        <v>2312212.44</v>
      </c>
      <c r="K183" s="4"/>
      <c r="L183" s="1"/>
    </row>
    <row r="184" spans="2:12" outlineLevel="1" x14ac:dyDescent="0.2">
      <c r="B184" s="7" t="s">
        <v>89</v>
      </c>
      <c r="C184" s="419">
        <v>43039</v>
      </c>
      <c r="D184" s="420">
        <v>43800</v>
      </c>
      <c r="E184" s="425">
        <v>50</v>
      </c>
      <c r="F184" s="269">
        <f>3709622.22+103039.18+839289.24</f>
        <v>4651950.6400000006</v>
      </c>
      <c r="G184" s="269"/>
      <c r="H184" s="269">
        <f>68616.27+136482.39</f>
        <v>205098.66000000003</v>
      </c>
      <c r="I184" s="130">
        <f t="shared" si="8"/>
        <v>4857049.3000000007</v>
      </c>
      <c r="J184" s="130">
        <f t="shared" si="7"/>
        <v>4857049.3000000007</v>
      </c>
      <c r="K184" s="4"/>
      <c r="L184" s="1"/>
    </row>
    <row r="185" spans="2:12" outlineLevel="1" x14ac:dyDescent="0.2">
      <c r="B185" s="3" t="s">
        <v>20</v>
      </c>
      <c r="C185" s="419">
        <v>43039</v>
      </c>
      <c r="D185" s="420">
        <v>43800</v>
      </c>
      <c r="E185" s="425">
        <v>50</v>
      </c>
      <c r="F185" s="269">
        <v>3491000</v>
      </c>
      <c r="G185" s="269">
        <f>8191035.17-8191035.17</f>
        <v>0</v>
      </c>
      <c r="H185" s="269">
        <v>307740</v>
      </c>
      <c r="I185" s="130">
        <f t="shared" si="8"/>
        <v>3798740</v>
      </c>
      <c r="J185" s="130">
        <f t="shared" si="7"/>
        <v>3798740</v>
      </c>
      <c r="K185" s="4"/>
      <c r="L185" s="1"/>
    </row>
    <row r="186" spans="2:12" ht="17.25" customHeight="1" outlineLevel="1" x14ac:dyDescent="0.2">
      <c r="B186" s="3" t="s">
        <v>21</v>
      </c>
      <c r="C186" s="419">
        <v>40711</v>
      </c>
      <c r="D186" s="420">
        <v>44166</v>
      </c>
      <c r="E186" s="424">
        <v>40</v>
      </c>
      <c r="F186" s="269">
        <v>3673101.7</v>
      </c>
      <c r="G186" s="269"/>
      <c r="H186" s="269">
        <v>339030.31</v>
      </c>
      <c r="I186" s="130">
        <f t="shared" si="8"/>
        <v>4012132.0100000002</v>
      </c>
      <c r="J186" s="130">
        <f t="shared" si="7"/>
        <v>4012132.0100000002</v>
      </c>
      <c r="K186" s="4"/>
      <c r="L186" s="1"/>
    </row>
    <row r="187" spans="2:12" ht="24" outlineLevel="1" x14ac:dyDescent="0.2">
      <c r="B187" s="7" t="s">
        <v>90</v>
      </c>
      <c r="C187" s="419">
        <v>40711</v>
      </c>
      <c r="D187" s="419">
        <v>44166</v>
      </c>
      <c r="E187" s="424">
        <v>40</v>
      </c>
      <c r="F187" s="269">
        <f>296278.88+2148959.47</f>
        <v>2445238.35</v>
      </c>
      <c r="G187" s="269"/>
      <c r="H187" s="271">
        <f>32430.97+17472.22+45136.56+66127.48</f>
        <v>161167.22999999998</v>
      </c>
      <c r="I187" s="130">
        <f t="shared" si="8"/>
        <v>2606405.58</v>
      </c>
      <c r="J187" s="130">
        <f t="shared" si="7"/>
        <v>2606405.58</v>
      </c>
      <c r="K187" s="4"/>
      <c r="L187" s="1"/>
    </row>
    <row r="188" spans="2:12" outlineLevel="1" x14ac:dyDescent="0.2">
      <c r="B188" s="7" t="s">
        <v>103</v>
      </c>
      <c r="C188" s="419">
        <v>43039</v>
      </c>
      <c r="D188" s="420">
        <v>43800</v>
      </c>
      <c r="E188" s="425">
        <v>50</v>
      </c>
      <c r="F188" s="269">
        <f>436246.93+2380114</f>
        <v>2816360.93</v>
      </c>
      <c r="G188" s="269"/>
      <c r="H188" s="271">
        <f>40231.28+24998.76+95828.59+270012.48</f>
        <v>431071.11</v>
      </c>
      <c r="I188" s="130">
        <f t="shared" si="8"/>
        <v>3247432.04</v>
      </c>
      <c r="J188" s="130">
        <f t="shared" si="7"/>
        <v>3247432.04</v>
      </c>
      <c r="K188" s="4"/>
      <c r="L188" s="1"/>
    </row>
    <row r="189" spans="2:12" ht="39" customHeight="1" outlineLevel="1" x14ac:dyDescent="0.2">
      <c r="B189" s="7" t="s">
        <v>542</v>
      </c>
      <c r="C189" s="419">
        <v>43039</v>
      </c>
      <c r="D189" s="420">
        <v>43800</v>
      </c>
      <c r="E189" s="425">
        <v>50</v>
      </c>
      <c r="F189" s="267">
        <v>22392558.350000001</v>
      </c>
      <c r="G189" s="269"/>
      <c r="H189" s="267">
        <v>332422.51</v>
      </c>
      <c r="I189" s="130">
        <f t="shared" si="8"/>
        <v>22724980.860000003</v>
      </c>
      <c r="J189" s="130">
        <f t="shared" si="7"/>
        <v>22724980.860000003</v>
      </c>
      <c r="K189" s="4"/>
      <c r="L189" s="1"/>
    </row>
    <row r="190" spans="2:12" outlineLevel="1" x14ac:dyDescent="0.2">
      <c r="B190" s="3" t="s">
        <v>91</v>
      </c>
      <c r="C190" s="419">
        <v>43404</v>
      </c>
      <c r="D190" s="420">
        <v>43800</v>
      </c>
      <c r="E190" s="425">
        <v>10</v>
      </c>
      <c r="F190" s="269">
        <f>1533063.23+367597.1</f>
        <v>1900660.33</v>
      </c>
      <c r="G190" s="269"/>
      <c r="H190" s="269">
        <f>28034.74+49009.21</f>
        <v>77043.95</v>
      </c>
      <c r="I190" s="130">
        <f t="shared" si="8"/>
        <v>1977704.28</v>
      </c>
      <c r="J190" s="130">
        <f t="shared" si="7"/>
        <v>1977704.28</v>
      </c>
      <c r="K190" s="4"/>
      <c r="L190" s="1"/>
    </row>
    <row r="191" spans="2:12" outlineLevel="1" x14ac:dyDescent="0.2">
      <c r="B191" s="3" t="s">
        <v>2</v>
      </c>
      <c r="C191" s="419">
        <v>43039</v>
      </c>
      <c r="D191" s="419">
        <v>43647</v>
      </c>
      <c r="E191" s="424">
        <v>30</v>
      </c>
      <c r="F191" s="271">
        <f>14745700+136277.39</f>
        <v>14881977.390000001</v>
      </c>
      <c r="G191" s="269">
        <f>303993.75+1969491.53+30513756.51+18049264.87+17348914.01-1969491.53+1969491.53+426532.2</f>
        <v>68611952.870000005</v>
      </c>
      <c r="H191" s="269">
        <f>738385+5951.54+6293.58+975670.38+6293.58+197260+51103.03+41107.83+32350.85+12041.46+37271.4-12041.46-197260+203919.16+6733.15+6807.14+6807.14</f>
        <v>2118693.7800000007</v>
      </c>
      <c r="I191" s="130">
        <f t="shared" si="8"/>
        <v>85612624.040000007</v>
      </c>
      <c r="J191" s="130">
        <f t="shared" si="7"/>
        <v>85612624.040000007</v>
      </c>
      <c r="K191" s="4"/>
      <c r="L191" s="1"/>
    </row>
    <row r="192" spans="2:12" ht="12" customHeight="1" outlineLevel="1" x14ac:dyDescent="0.2">
      <c r="B192" s="3" t="s">
        <v>543</v>
      </c>
      <c r="C192" s="419">
        <v>40903</v>
      </c>
      <c r="D192" s="419">
        <v>43435</v>
      </c>
      <c r="E192" s="424">
        <v>95</v>
      </c>
      <c r="F192" s="271">
        <f>16052542.37+6914706.41</f>
        <v>22967248.780000001</v>
      </c>
      <c r="G192" s="269"/>
      <c r="H192" s="271">
        <f>5805556.4+306688.84+239437.02+239437+242068.17+131184.75+78873.25+4124786.99+161.05</f>
        <v>11168193.470000001</v>
      </c>
      <c r="I192" s="130">
        <f t="shared" si="8"/>
        <v>34135442.25</v>
      </c>
      <c r="J192" s="130">
        <f t="shared" si="7"/>
        <v>34135442.25</v>
      </c>
      <c r="K192" s="24"/>
      <c r="L192" s="1"/>
    </row>
    <row r="193" spans="2:12" outlineLevel="1" x14ac:dyDescent="0.2">
      <c r="B193" s="3" t="s">
        <v>229</v>
      </c>
      <c r="C193" s="419">
        <v>40908</v>
      </c>
      <c r="D193" s="420">
        <v>44195</v>
      </c>
      <c r="E193" s="425">
        <v>40</v>
      </c>
      <c r="F193" s="269">
        <f>5576229.27+2174110.45</f>
        <v>7750339.7199999997</v>
      </c>
      <c r="G193" s="269"/>
      <c r="H193" s="269">
        <f>114317.51+212464.6+53383.71</f>
        <v>380165.82</v>
      </c>
      <c r="I193" s="130">
        <f t="shared" si="8"/>
        <v>8130505.54</v>
      </c>
      <c r="J193" s="130">
        <f t="shared" si="7"/>
        <v>8130505.54</v>
      </c>
      <c r="K193" s="23"/>
      <c r="L193" s="19"/>
    </row>
    <row r="194" spans="2:12" ht="48.75" customHeight="1" outlineLevel="1" x14ac:dyDescent="0.2">
      <c r="B194" s="7" t="s">
        <v>230</v>
      </c>
      <c r="C194" s="419">
        <v>43039</v>
      </c>
      <c r="D194" s="419">
        <v>43647</v>
      </c>
      <c r="E194" s="424">
        <v>50</v>
      </c>
      <c r="F194" s="269">
        <f>4179082.84+1655437.93</f>
        <v>5834520.7699999996</v>
      </c>
      <c r="G194" s="269"/>
      <c r="H194" s="269">
        <f>83280.14+8.79+169515.73</f>
        <v>252804.66</v>
      </c>
      <c r="I194" s="130">
        <f t="shared" si="8"/>
        <v>6087325.4299999997</v>
      </c>
      <c r="J194" s="130">
        <f t="shared" si="7"/>
        <v>6087325.4299999997</v>
      </c>
      <c r="K194" s="4"/>
      <c r="L194" s="1"/>
    </row>
    <row r="195" spans="2:12" ht="30" customHeight="1" outlineLevel="1" x14ac:dyDescent="0.2">
      <c r="B195" s="6" t="s">
        <v>129</v>
      </c>
      <c r="C195" s="419">
        <v>43039</v>
      </c>
      <c r="D195" s="419">
        <v>43647</v>
      </c>
      <c r="E195" s="424">
        <v>50</v>
      </c>
      <c r="F195" s="269"/>
      <c r="G195" s="269"/>
      <c r="H195" s="269">
        <v>14793.46</v>
      </c>
      <c r="I195" s="130">
        <f t="shared" si="8"/>
        <v>14793.46</v>
      </c>
      <c r="J195" s="130">
        <f t="shared" si="7"/>
        <v>14793.46</v>
      </c>
      <c r="K195" s="22"/>
      <c r="L195" s="1"/>
    </row>
    <row r="196" spans="2:12" ht="30" customHeight="1" outlineLevel="1" x14ac:dyDescent="0.2">
      <c r="B196" s="6" t="s">
        <v>544</v>
      </c>
      <c r="C196" s="419">
        <v>43069</v>
      </c>
      <c r="D196" s="419">
        <v>43829</v>
      </c>
      <c r="E196" s="424">
        <v>15</v>
      </c>
      <c r="F196" s="267">
        <v>7273463.5099999998</v>
      </c>
      <c r="G196" s="269"/>
      <c r="H196" s="267">
        <v>102076.42</v>
      </c>
      <c r="I196" s="130">
        <f t="shared" si="8"/>
        <v>7375539.9299999997</v>
      </c>
      <c r="J196" s="130">
        <f t="shared" si="7"/>
        <v>7375539.9299999997</v>
      </c>
      <c r="K196" s="22"/>
      <c r="L196" s="1"/>
    </row>
    <row r="197" spans="2:12" ht="30" customHeight="1" outlineLevel="1" x14ac:dyDescent="0.2">
      <c r="B197" s="6" t="s">
        <v>545</v>
      </c>
      <c r="C197" s="419">
        <v>43374</v>
      </c>
      <c r="D197" s="419">
        <v>43830</v>
      </c>
      <c r="E197" s="424">
        <v>10</v>
      </c>
      <c r="F197" s="267">
        <v>1315933.97</v>
      </c>
      <c r="G197" s="269"/>
      <c r="H197" s="267">
        <v>18808.580000000002</v>
      </c>
      <c r="I197" s="130">
        <f t="shared" si="8"/>
        <v>1334742.55</v>
      </c>
      <c r="J197" s="130">
        <f t="shared" si="7"/>
        <v>1334742.55</v>
      </c>
      <c r="K197" s="22"/>
      <c r="L197" s="1"/>
    </row>
    <row r="198" spans="2:12" ht="24" outlineLevel="1" x14ac:dyDescent="0.2">
      <c r="B198" s="7" t="s">
        <v>31</v>
      </c>
      <c r="C198" s="419">
        <v>43374</v>
      </c>
      <c r="D198" s="419">
        <v>43830</v>
      </c>
      <c r="E198" s="424">
        <v>10</v>
      </c>
      <c r="F198" s="269">
        <f>5740697.89+360302.11+8791.6</f>
        <v>6109791.5999999996</v>
      </c>
      <c r="G198" s="269">
        <f>15003569.08-216514.98</f>
        <v>14787054.1</v>
      </c>
      <c r="H198" s="269">
        <f>109646.13+932845.32+399790.85+21419.88+155955.03+23391.8+22732.63+23071.16+22950.85</f>
        <v>1711803.6499999997</v>
      </c>
      <c r="I198" s="130">
        <f t="shared" si="8"/>
        <v>22608649.349999998</v>
      </c>
      <c r="J198" s="130">
        <f t="shared" si="7"/>
        <v>22608649.349999998</v>
      </c>
      <c r="K198" s="4"/>
      <c r="L198" s="1"/>
    </row>
    <row r="199" spans="2:12" outlineLevel="1" x14ac:dyDescent="0.2">
      <c r="B199" s="7" t="s">
        <v>93</v>
      </c>
      <c r="C199" s="419">
        <v>42674</v>
      </c>
      <c r="D199" s="419">
        <v>43830</v>
      </c>
      <c r="E199" s="425">
        <v>100</v>
      </c>
      <c r="F199" s="269">
        <f>319507.53+2454515.31</f>
        <v>2774022.84</v>
      </c>
      <c r="G199" s="267">
        <v>2980932.2</v>
      </c>
      <c r="H199" s="269">
        <v>218082.09</v>
      </c>
      <c r="I199" s="130">
        <f t="shared" si="8"/>
        <v>5973037.1299999999</v>
      </c>
      <c r="J199" s="130">
        <f t="shared" si="7"/>
        <v>5973037.1299999999</v>
      </c>
      <c r="K199" s="4"/>
      <c r="L199" s="1"/>
    </row>
    <row r="200" spans="2:12" outlineLevel="1" x14ac:dyDescent="0.2">
      <c r="B200" s="7" t="s">
        <v>94</v>
      </c>
      <c r="C200" s="419">
        <v>43039</v>
      </c>
      <c r="D200" s="419">
        <v>43647</v>
      </c>
      <c r="E200" s="425">
        <v>50</v>
      </c>
      <c r="F200" s="269">
        <v>5496628.4299999997</v>
      </c>
      <c r="G200" s="267">
        <v>6957186.4400000004</v>
      </c>
      <c r="H200" s="269">
        <f>49398.59+267667.77</f>
        <v>317066.36</v>
      </c>
      <c r="I200" s="130">
        <f t="shared" si="8"/>
        <v>12770881.23</v>
      </c>
      <c r="J200" s="130">
        <f t="shared" si="7"/>
        <v>12770881.23</v>
      </c>
      <c r="K200" s="4"/>
      <c r="L200" s="1"/>
    </row>
    <row r="201" spans="2:12" outlineLevel="1" x14ac:dyDescent="0.2">
      <c r="B201" s="7" t="s">
        <v>546</v>
      </c>
      <c r="C201" s="419">
        <v>43039</v>
      </c>
      <c r="D201" s="419">
        <v>43647</v>
      </c>
      <c r="E201" s="425">
        <v>50</v>
      </c>
      <c r="F201" s="267">
        <v>26235282.940000001</v>
      </c>
      <c r="G201" s="267"/>
      <c r="H201" s="267">
        <v>386984.93</v>
      </c>
      <c r="I201" s="130">
        <f t="shared" si="8"/>
        <v>26622267.870000001</v>
      </c>
      <c r="J201" s="130">
        <f t="shared" si="7"/>
        <v>26622267.870000001</v>
      </c>
      <c r="K201" s="4"/>
      <c r="L201" s="1"/>
    </row>
    <row r="202" spans="2:12" ht="15.75" customHeight="1" outlineLevel="1" x14ac:dyDescent="0.2">
      <c r="B202" s="3" t="s">
        <v>3</v>
      </c>
      <c r="C202" s="419"/>
      <c r="D202" s="419">
        <v>43830</v>
      </c>
      <c r="E202" s="425">
        <v>10</v>
      </c>
      <c r="F202" s="269">
        <v>7778000</v>
      </c>
      <c r="G202" s="269"/>
      <c r="H202" s="269">
        <f>421628+164560.86</f>
        <v>586188.86</v>
      </c>
      <c r="I202" s="130">
        <f t="shared" si="8"/>
        <v>8364188.8600000003</v>
      </c>
      <c r="J202" s="130">
        <f t="shared" si="7"/>
        <v>8364188.8600000003</v>
      </c>
      <c r="K202" s="4"/>
      <c r="L202" s="1"/>
    </row>
    <row r="203" spans="2:12" outlineLevel="1" x14ac:dyDescent="0.2">
      <c r="B203" s="3" t="s">
        <v>95</v>
      </c>
      <c r="C203" s="419">
        <v>40903</v>
      </c>
      <c r="D203" s="420">
        <v>43800</v>
      </c>
      <c r="E203" s="425">
        <v>50</v>
      </c>
      <c r="F203" s="269">
        <f>418926.86+2632995.69</f>
        <v>3051922.55</v>
      </c>
      <c r="G203" s="267">
        <v>3548728.81</v>
      </c>
      <c r="H203" s="269">
        <f>37519.07+142077.5</f>
        <v>179596.57</v>
      </c>
      <c r="I203" s="130">
        <f t="shared" ref="I203" si="9">G203+F203+H203</f>
        <v>6780247.9299999997</v>
      </c>
      <c r="J203" s="130">
        <f t="shared" ref="J203:J255" si="10">I203</f>
        <v>6780247.9299999997</v>
      </c>
      <c r="K203" s="4"/>
      <c r="L203" s="1"/>
    </row>
    <row r="204" spans="2:12" ht="24.75" customHeight="1" outlineLevel="1" x14ac:dyDescent="0.2">
      <c r="B204" s="3" t="s">
        <v>104</v>
      </c>
      <c r="C204" s="419">
        <v>43039</v>
      </c>
      <c r="D204" s="419">
        <v>43647</v>
      </c>
      <c r="E204" s="425">
        <v>50</v>
      </c>
      <c r="F204" s="269">
        <f>183756.37+1660361.3</f>
        <v>1844117.67</v>
      </c>
      <c r="G204" s="269"/>
      <c r="H204" s="271">
        <f>2710.41+19132.92+235000</f>
        <v>256843.33</v>
      </c>
      <c r="I204" s="130">
        <f>F204+G204+H204</f>
        <v>2100961</v>
      </c>
      <c r="J204" s="130">
        <f t="shared" si="10"/>
        <v>2100961</v>
      </c>
      <c r="K204" s="24"/>
      <c r="L204" s="1"/>
    </row>
    <row r="205" spans="2:12" ht="24.75" customHeight="1" outlineLevel="1" x14ac:dyDescent="0.2">
      <c r="B205" s="3" t="s">
        <v>547</v>
      </c>
      <c r="C205" s="419">
        <v>43039</v>
      </c>
      <c r="D205" s="419">
        <v>43647</v>
      </c>
      <c r="E205" s="425">
        <v>50</v>
      </c>
      <c r="F205" s="267">
        <v>1726038.4</v>
      </c>
      <c r="G205" s="269"/>
      <c r="H205" s="267">
        <v>26292.98</v>
      </c>
      <c r="I205" s="130">
        <f>F205+G205+H205</f>
        <v>1752331.38</v>
      </c>
      <c r="J205" s="130">
        <f t="shared" si="10"/>
        <v>1752331.38</v>
      </c>
      <c r="K205" s="24"/>
      <c r="L205" s="1"/>
    </row>
    <row r="206" spans="2:12" ht="24.75" customHeight="1" outlineLevel="1" x14ac:dyDescent="0.2">
      <c r="B206" s="3" t="s">
        <v>548</v>
      </c>
      <c r="C206" s="419">
        <v>43404</v>
      </c>
      <c r="D206" s="419">
        <v>43830</v>
      </c>
      <c r="E206" s="425">
        <v>10</v>
      </c>
      <c r="F206" s="267">
        <v>1020470.29</v>
      </c>
      <c r="G206" s="269"/>
      <c r="H206" s="267">
        <v>17132.349999999999</v>
      </c>
      <c r="I206" s="130">
        <f>F206+G206+H206</f>
        <v>1037602.64</v>
      </c>
      <c r="J206" s="130">
        <f t="shared" si="10"/>
        <v>1037602.64</v>
      </c>
      <c r="K206" s="24"/>
      <c r="L206" s="1"/>
    </row>
    <row r="207" spans="2:12" ht="12.75" customHeight="1" outlineLevel="1" x14ac:dyDescent="0.2">
      <c r="B207" s="3" t="s">
        <v>96</v>
      </c>
      <c r="C207" s="419">
        <v>43404</v>
      </c>
      <c r="D207" s="419">
        <v>43830</v>
      </c>
      <c r="E207" s="425">
        <v>10</v>
      </c>
      <c r="F207" s="269">
        <f>2532286.49+1052559</f>
        <v>3584845.49</v>
      </c>
      <c r="G207" s="269"/>
      <c r="H207" s="271">
        <f>52876.47+21.58+14.72+78117.15</f>
        <v>131029.92</v>
      </c>
      <c r="I207" s="130">
        <f>F207+G207+H207</f>
        <v>3715875.41</v>
      </c>
      <c r="J207" s="130">
        <f t="shared" si="10"/>
        <v>3715875.41</v>
      </c>
      <c r="K207" s="24"/>
      <c r="L207" s="1"/>
    </row>
    <row r="208" spans="2:12" outlineLevel="1" x14ac:dyDescent="0.2">
      <c r="B208" s="3" t="s">
        <v>4</v>
      </c>
      <c r="C208" s="419">
        <v>43039</v>
      </c>
      <c r="D208" s="419">
        <v>43647</v>
      </c>
      <c r="E208" s="425">
        <v>50</v>
      </c>
      <c r="F208" s="269">
        <v>6302500</v>
      </c>
      <c r="G208" s="269"/>
      <c r="H208" s="271">
        <f>364502+85731.27</f>
        <v>450233.27</v>
      </c>
      <c r="I208" s="130">
        <f t="shared" ref="I208:I218" si="11">G208+F208+H208</f>
        <v>6752733.2699999996</v>
      </c>
      <c r="J208" s="130">
        <f t="shared" si="10"/>
        <v>6752733.2699999996</v>
      </c>
      <c r="K208" s="4"/>
      <c r="L208" s="1"/>
    </row>
    <row r="209" spans="2:40" outlineLevel="1" x14ac:dyDescent="0.2">
      <c r="B209" s="3" t="s">
        <v>97</v>
      </c>
      <c r="C209" s="419">
        <v>40903</v>
      </c>
      <c r="D209" s="420">
        <v>43800</v>
      </c>
      <c r="E209" s="425">
        <v>50</v>
      </c>
      <c r="F209" s="269">
        <f>1958014.21+798048.71</f>
        <v>2756062.92</v>
      </c>
      <c r="G209" s="269"/>
      <c r="H209" s="271">
        <f>40651.92+39199.42</f>
        <v>79851.34</v>
      </c>
      <c r="I209" s="130">
        <f t="shared" si="11"/>
        <v>2835914.26</v>
      </c>
      <c r="J209" s="130">
        <f t="shared" si="10"/>
        <v>2835914.26</v>
      </c>
      <c r="K209" s="4"/>
      <c r="L209" s="1"/>
    </row>
    <row r="210" spans="2:40" outlineLevel="1" x14ac:dyDescent="0.2">
      <c r="B210" s="3" t="s">
        <v>549</v>
      </c>
      <c r="C210" s="419">
        <v>43039</v>
      </c>
      <c r="D210" s="420">
        <v>43800</v>
      </c>
      <c r="E210" s="425">
        <v>50</v>
      </c>
      <c r="F210" s="267">
        <v>9634767.8399999999</v>
      </c>
      <c r="G210" s="269"/>
      <c r="H210" s="267">
        <v>132799.44</v>
      </c>
      <c r="I210" s="130">
        <f t="shared" si="11"/>
        <v>9767567.2799999993</v>
      </c>
      <c r="J210" s="130">
        <f t="shared" si="10"/>
        <v>9767567.2799999993</v>
      </c>
      <c r="K210" s="4"/>
      <c r="L210" s="1"/>
    </row>
    <row r="211" spans="2:40" outlineLevel="1" x14ac:dyDescent="0.2">
      <c r="B211" s="3" t="s">
        <v>550</v>
      </c>
      <c r="C211" s="419">
        <v>43404</v>
      </c>
      <c r="D211" s="419">
        <v>43830</v>
      </c>
      <c r="E211" s="425">
        <v>10</v>
      </c>
      <c r="F211" s="267">
        <v>5340668.28</v>
      </c>
      <c r="G211" s="269"/>
      <c r="H211" s="267">
        <v>82424.22</v>
      </c>
      <c r="I211" s="130">
        <f t="shared" si="11"/>
        <v>5423092.5</v>
      </c>
      <c r="J211" s="130">
        <f t="shared" si="10"/>
        <v>5423092.5</v>
      </c>
      <c r="K211" s="4"/>
      <c r="L211" s="1"/>
    </row>
    <row r="212" spans="2:40" outlineLevel="1" x14ac:dyDescent="0.2">
      <c r="B212" s="3" t="s">
        <v>551</v>
      </c>
      <c r="C212" s="419">
        <v>43404</v>
      </c>
      <c r="D212" s="419">
        <v>43830</v>
      </c>
      <c r="E212" s="425">
        <v>10</v>
      </c>
      <c r="F212" s="267">
        <v>8784739.5600000005</v>
      </c>
      <c r="G212" s="269"/>
      <c r="H212" s="267">
        <v>110170.38</v>
      </c>
      <c r="I212" s="130">
        <f t="shared" si="11"/>
        <v>8894909.9400000013</v>
      </c>
      <c r="J212" s="130">
        <f t="shared" si="10"/>
        <v>8894909.9400000013</v>
      </c>
      <c r="K212" s="4"/>
      <c r="L212" s="1"/>
    </row>
    <row r="213" spans="2:40" outlineLevel="1" x14ac:dyDescent="0.2">
      <c r="B213" s="3" t="s">
        <v>552</v>
      </c>
      <c r="C213" s="419">
        <v>43404</v>
      </c>
      <c r="D213" s="419">
        <v>43830</v>
      </c>
      <c r="E213" s="425">
        <v>10</v>
      </c>
      <c r="F213" s="267">
        <v>17357446.07</v>
      </c>
      <c r="G213" s="269"/>
      <c r="H213" s="267">
        <v>253626.85</v>
      </c>
      <c r="I213" s="130">
        <f t="shared" si="11"/>
        <v>17611072.920000002</v>
      </c>
      <c r="J213" s="130">
        <f t="shared" si="10"/>
        <v>17611072.920000002</v>
      </c>
      <c r="K213" s="4"/>
      <c r="L213" s="1"/>
    </row>
    <row r="214" spans="2:40" ht="36" outlineLevel="1" x14ac:dyDescent="0.2">
      <c r="B214" s="3" t="s">
        <v>98</v>
      </c>
      <c r="C214" s="419">
        <v>43404</v>
      </c>
      <c r="D214" s="419">
        <v>43830</v>
      </c>
      <c r="E214" s="425">
        <v>10</v>
      </c>
      <c r="F214" s="269">
        <f>2292677.03+1103624.16</f>
        <v>3396301.1899999995</v>
      </c>
      <c r="G214" s="267">
        <v>3855932.2</v>
      </c>
      <c r="H214" s="269">
        <f>50095.44+101.58+76.6+64019.53</f>
        <v>114293.15</v>
      </c>
      <c r="I214" s="130">
        <f t="shared" si="11"/>
        <v>7366526.54</v>
      </c>
      <c r="J214" s="130">
        <f t="shared" si="10"/>
        <v>7366526.54</v>
      </c>
      <c r="K214" s="23"/>
      <c r="L214" s="19"/>
    </row>
    <row r="215" spans="2:40" ht="36" outlineLevel="1" x14ac:dyDescent="0.2">
      <c r="B215" s="3" t="s">
        <v>99</v>
      </c>
      <c r="C215" s="419">
        <v>43039</v>
      </c>
      <c r="D215" s="420">
        <v>43800</v>
      </c>
      <c r="E215" s="425">
        <v>50</v>
      </c>
      <c r="F215" s="269">
        <f>261435.92+1872166.02</f>
        <v>2133601.94</v>
      </c>
      <c r="G215" s="267">
        <v>2271186.44</v>
      </c>
      <c r="H215" s="269">
        <f>27925.95+156672.53</f>
        <v>184598.48</v>
      </c>
      <c r="I215" s="130">
        <f t="shared" si="11"/>
        <v>4589386.8600000003</v>
      </c>
      <c r="J215" s="130">
        <f t="shared" si="10"/>
        <v>4589386.8600000003</v>
      </c>
      <c r="K215" s="23"/>
      <c r="L215" s="19"/>
    </row>
    <row r="216" spans="2:40" outlineLevel="1" x14ac:dyDescent="0.2">
      <c r="B216" s="3" t="s">
        <v>100</v>
      </c>
      <c r="C216" s="419">
        <v>43039</v>
      </c>
      <c r="D216" s="420">
        <v>43800</v>
      </c>
      <c r="E216" s="425">
        <v>50</v>
      </c>
      <c r="F216" s="269">
        <f>2019543.09+934821.83</f>
        <v>2954364.92</v>
      </c>
      <c r="G216" s="269"/>
      <c r="H216" s="269">
        <f>43576.88+90369.11</f>
        <v>133945.99</v>
      </c>
      <c r="I216" s="130">
        <f t="shared" si="11"/>
        <v>3088310.91</v>
      </c>
      <c r="J216" s="130">
        <f t="shared" si="10"/>
        <v>3088310.91</v>
      </c>
      <c r="K216" s="23"/>
      <c r="L216" s="19"/>
    </row>
    <row r="217" spans="2:40" outlineLevel="1" x14ac:dyDescent="0.2">
      <c r="B217" s="3" t="s">
        <v>101</v>
      </c>
      <c r="C217" s="419">
        <v>43039</v>
      </c>
      <c r="D217" s="420">
        <v>43800</v>
      </c>
      <c r="E217" s="425">
        <v>50</v>
      </c>
      <c r="F217" s="269">
        <f>1447604.63+641034.24</f>
        <v>2088638.8699999999</v>
      </c>
      <c r="G217" s="267">
        <v>20014.310000000001</v>
      </c>
      <c r="H217" s="269">
        <f>30807.42+10.06+52613.07</f>
        <v>83430.55</v>
      </c>
      <c r="I217" s="130">
        <f t="shared" si="11"/>
        <v>2192083.7299999995</v>
      </c>
      <c r="J217" s="130">
        <f t="shared" si="10"/>
        <v>2192083.7299999995</v>
      </c>
      <c r="K217" s="23"/>
      <c r="L217" s="19"/>
    </row>
    <row r="218" spans="2:40" outlineLevel="1" x14ac:dyDescent="0.2">
      <c r="B218" s="3" t="s">
        <v>102</v>
      </c>
      <c r="C218" s="419">
        <v>43039</v>
      </c>
      <c r="D218" s="420">
        <v>43800</v>
      </c>
      <c r="E218" s="425">
        <v>50</v>
      </c>
      <c r="F218" s="269">
        <f>2087084.55+638121.93</f>
        <v>2725206.48</v>
      </c>
      <c r="G218" s="269"/>
      <c r="H218" s="269">
        <f>40196.79+58480.96</f>
        <v>98677.75</v>
      </c>
      <c r="I218" s="130">
        <f t="shared" si="11"/>
        <v>2823884.23</v>
      </c>
      <c r="J218" s="130">
        <f t="shared" si="10"/>
        <v>2823884.23</v>
      </c>
      <c r="K218" s="23"/>
      <c r="L218" s="19"/>
    </row>
    <row r="219" spans="2:40" ht="39" customHeight="1" outlineLevel="1" x14ac:dyDescent="0.2">
      <c r="B219" s="8" t="s">
        <v>316</v>
      </c>
      <c r="C219" s="419">
        <v>43039</v>
      </c>
      <c r="D219" s="420">
        <v>43800</v>
      </c>
      <c r="E219" s="425">
        <v>50</v>
      </c>
      <c r="F219" s="267">
        <f>183165.46</f>
        <v>183165.46</v>
      </c>
      <c r="G219" s="267">
        <v>351065.64</v>
      </c>
      <c r="H219" s="269">
        <v>2701.69</v>
      </c>
      <c r="I219" s="130">
        <f t="shared" ref="I219:I246" si="12">F219+G219+H219</f>
        <v>536932.78999999992</v>
      </c>
      <c r="J219" s="130">
        <f t="shared" si="10"/>
        <v>536932.78999999992</v>
      </c>
      <c r="K219" s="1"/>
      <c r="L219" s="1"/>
    </row>
    <row r="220" spans="2:40" ht="39" customHeight="1" outlineLevel="1" x14ac:dyDescent="0.2">
      <c r="B220" s="8" t="s">
        <v>130</v>
      </c>
      <c r="C220" s="419">
        <v>43312</v>
      </c>
      <c r="D220" s="420">
        <v>43986</v>
      </c>
      <c r="E220" s="425">
        <v>90</v>
      </c>
      <c r="F220" s="271">
        <v>1812246.08</v>
      </c>
      <c r="G220" s="267">
        <f>8964840.68</f>
        <v>8964840.6799999997</v>
      </c>
      <c r="H220" s="269">
        <f>21.99+31.94+15.84</f>
        <v>69.77</v>
      </c>
      <c r="I220" s="130">
        <f t="shared" si="12"/>
        <v>10777156.529999999</v>
      </c>
      <c r="J220" s="130">
        <f t="shared" si="10"/>
        <v>10777156.529999999</v>
      </c>
      <c r="K220" s="1"/>
      <c r="L220" s="1"/>
    </row>
    <row r="221" spans="2:40" ht="39" customHeight="1" outlineLevel="1" x14ac:dyDescent="0.2">
      <c r="B221" s="8" t="s">
        <v>317</v>
      </c>
      <c r="C221" s="419">
        <v>42968</v>
      </c>
      <c r="D221" s="420">
        <v>43830</v>
      </c>
      <c r="E221" s="425">
        <v>70</v>
      </c>
      <c r="F221" s="271"/>
      <c r="G221" s="269"/>
      <c r="H221" s="269">
        <v>9468.42</v>
      </c>
      <c r="I221" s="130">
        <f t="shared" si="12"/>
        <v>9468.42</v>
      </c>
      <c r="J221" s="130">
        <f t="shared" si="10"/>
        <v>9468.42</v>
      </c>
      <c r="K221" s="1"/>
      <c r="L221" s="1"/>
    </row>
    <row r="222" spans="2:40" ht="39" customHeight="1" outlineLevel="1" x14ac:dyDescent="0.2">
      <c r="B222" s="8" t="s">
        <v>231</v>
      </c>
      <c r="C222" s="419">
        <v>43373</v>
      </c>
      <c r="D222" s="420">
        <v>44050</v>
      </c>
      <c r="E222" s="425">
        <v>20</v>
      </c>
      <c r="F222" s="271"/>
      <c r="G222" s="269"/>
      <c r="H222" s="269">
        <v>7325.22</v>
      </c>
      <c r="I222" s="130">
        <f t="shared" si="12"/>
        <v>7325.22</v>
      </c>
      <c r="J222" s="130">
        <f t="shared" si="10"/>
        <v>7325.22</v>
      </c>
      <c r="K222" s="1"/>
      <c r="L222" s="1"/>
    </row>
    <row r="223" spans="2:40" ht="39" customHeight="1" outlineLevel="1" x14ac:dyDescent="0.2">
      <c r="B223" s="8" t="s">
        <v>557</v>
      </c>
      <c r="C223" s="419">
        <v>43281</v>
      </c>
      <c r="D223" s="420">
        <v>43769</v>
      </c>
      <c r="E223" s="425">
        <v>20</v>
      </c>
      <c r="F223" s="267">
        <v>828010.15</v>
      </c>
      <c r="G223" s="269"/>
      <c r="H223" s="269"/>
      <c r="I223" s="130">
        <f t="shared" si="12"/>
        <v>828010.15</v>
      </c>
      <c r="J223" s="130">
        <f t="shared" si="10"/>
        <v>828010.15</v>
      </c>
      <c r="K223" s="1"/>
      <c r="L223" s="1"/>
    </row>
    <row r="224" spans="2:40" s="72" customFormat="1" ht="24" outlineLevel="1" x14ac:dyDescent="0.2">
      <c r="B224" s="8" t="s">
        <v>34</v>
      </c>
      <c r="C224" s="419">
        <v>43464</v>
      </c>
      <c r="D224" s="420">
        <v>44063</v>
      </c>
      <c r="E224" s="425">
        <v>30</v>
      </c>
      <c r="F224" s="266">
        <v>601191.96</v>
      </c>
      <c r="G224" s="266"/>
      <c r="H224" s="269">
        <v>19192.900000000001</v>
      </c>
      <c r="I224" s="130">
        <f t="shared" si="12"/>
        <v>620384.86</v>
      </c>
      <c r="J224" s="130">
        <f t="shared" si="10"/>
        <v>620384.86</v>
      </c>
      <c r="K224" s="11"/>
      <c r="L224" s="11"/>
      <c r="M224" s="161"/>
      <c r="N224" s="161"/>
      <c r="O224" s="161"/>
      <c r="P224" s="162"/>
      <c r="Q224" s="162"/>
      <c r="R224" s="162"/>
      <c r="S224" s="162"/>
      <c r="T224" s="162"/>
      <c r="U224" s="162"/>
      <c r="V224" s="162"/>
      <c r="W224" s="162"/>
      <c r="X224" s="162"/>
      <c r="Y224" s="162"/>
      <c r="Z224" s="162"/>
      <c r="AA224" s="162"/>
      <c r="AB224" s="162"/>
      <c r="AC224" s="162"/>
      <c r="AD224" s="162"/>
      <c r="AE224" s="162"/>
      <c r="AF224" s="162"/>
      <c r="AG224" s="162"/>
      <c r="AH224" s="162"/>
      <c r="AI224" s="162"/>
      <c r="AJ224" s="162"/>
      <c r="AK224" s="162"/>
      <c r="AL224" s="162"/>
      <c r="AM224" s="162"/>
      <c r="AN224" s="162"/>
    </row>
    <row r="225" spans="2:12" s="163" customFormat="1" ht="26.25" customHeight="1" outlineLevel="1" x14ac:dyDescent="0.2">
      <c r="B225" s="8" t="s">
        <v>32</v>
      </c>
      <c r="C225" s="419">
        <v>42717</v>
      </c>
      <c r="D225" s="419">
        <v>43830</v>
      </c>
      <c r="E225" s="424">
        <v>40</v>
      </c>
      <c r="F225" s="266"/>
      <c r="G225" s="269"/>
      <c r="H225" s="271">
        <v>10729.02</v>
      </c>
      <c r="I225" s="130">
        <f t="shared" si="12"/>
        <v>10729.02</v>
      </c>
      <c r="J225" s="130">
        <f t="shared" si="10"/>
        <v>10729.02</v>
      </c>
      <c r="K225" s="25"/>
      <c r="L225" s="25"/>
    </row>
    <row r="226" spans="2:12" outlineLevel="1" x14ac:dyDescent="0.2">
      <c r="B226" s="7" t="s">
        <v>105</v>
      </c>
      <c r="C226" s="420">
        <v>42628</v>
      </c>
      <c r="D226" s="420">
        <v>43830</v>
      </c>
      <c r="E226" s="425">
        <v>10</v>
      </c>
      <c r="F226" s="271">
        <v>1457603.54</v>
      </c>
      <c r="G226" s="269"/>
      <c r="H226" s="269">
        <v>18556.97</v>
      </c>
      <c r="I226" s="130">
        <f t="shared" si="12"/>
        <v>1476160.51</v>
      </c>
      <c r="J226" s="130">
        <f t="shared" si="10"/>
        <v>1476160.51</v>
      </c>
      <c r="K226" s="1"/>
      <c r="L226" s="1"/>
    </row>
    <row r="227" spans="2:12" outlineLevel="1" x14ac:dyDescent="0.2">
      <c r="B227" s="7" t="s">
        <v>235</v>
      </c>
      <c r="C227" s="419">
        <v>42794</v>
      </c>
      <c r="D227" s="419">
        <v>43830</v>
      </c>
      <c r="E227" s="425">
        <v>50</v>
      </c>
      <c r="F227" s="271">
        <v>723449.04</v>
      </c>
      <c r="G227" s="269">
        <v>28820.78</v>
      </c>
      <c r="H227" s="269">
        <f>36776.12+236.7+152.32</f>
        <v>37165.14</v>
      </c>
      <c r="I227" s="130">
        <f t="shared" si="12"/>
        <v>789434.96000000008</v>
      </c>
      <c r="J227" s="130">
        <f t="shared" si="10"/>
        <v>789434.96000000008</v>
      </c>
      <c r="K227" s="1"/>
      <c r="L227" s="1"/>
    </row>
    <row r="228" spans="2:12" s="163" customFormat="1" ht="26.25" customHeight="1" outlineLevel="1" x14ac:dyDescent="0.2">
      <c r="B228" s="7" t="s">
        <v>35</v>
      </c>
      <c r="C228" s="419">
        <v>42886</v>
      </c>
      <c r="D228" s="419">
        <v>43830</v>
      </c>
      <c r="E228" s="425">
        <v>40</v>
      </c>
      <c r="F228" s="266">
        <f>418858.08+3212</f>
        <v>422070.08</v>
      </c>
      <c r="G228" s="267">
        <v>186454.13</v>
      </c>
      <c r="H228" s="271"/>
      <c r="I228" s="130">
        <f t="shared" si="12"/>
        <v>608524.21</v>
      </c>
      <c r="J228" s="130">
        <f t="shared" si="10"/>
        <v>608524.21</v>
      </c>
      <c r="K228" s="25"/>
      <c r="L228" s="25"/>
    </row>
    <row r="229" spans="2:12" ht="39" customHeight="1" outlineLevel="1" x14ac:dyDescent="0.2">
      <c r="B229" s="7" t="s">
        <v>531</v>
      </c>
      <c r="C229" s="420">
        <v>42934</v>
      </c>
      <c r="D229" s="419">
        <v>43586</v>
      </c>
      <c r="E229" s="425">
        <v>90</v>
      </c>
      <c r="F229" s="267">
        <v>51510.53</v>
      </c>
      <c r="G229" s="267"/>
      <c r="H229" s="269"/>
      <c r="I229" s="130">
        <f t="shared" si="12"/>
        <v>51510.53</v>
      </c>
      <c r="J229" s="130">
        <f t="shared" si="10"/>
        <v>51510.53</v>
      </c>
      <c r="K229" s="1"/>
      <c r="L229" s="1"/>
    </row>
    <row r="230" spans="2:12" ht="36.75" customHeight="1" outlineLevel="1" x14ac:dyDescent="0.2">
      <c r="B230" s="7" t="s">
        <v>318</v>
      </c>
      <c r="C230" s="419">
        <v>43460</v>
      </c>
      <c r="D230" s="420">
        <v>43962</v>
      </c>
      <c r="E230" s="425">
        <v>60</v>
      </c>
      <c r="F230" s="271"/>
      <c r="G230" s="269"/>
      <c r="H230" s="269">
        <v>9168.08</v>
      </c>
      <c r="I230" s="130">
        <f t="shared" si="12"/>
        <v>9168.08</v>
      </c>
      <c r="J230" s="130">
        <f t="shared" si="10"/>
        <v>9168.08</v>
      </c>
      <c r="K230" s="1"/>
      <c r="L230" s="1"/>
    </row>
    <row r="231" spans="2:12" ht="39" customHeight="1" outlineLevel="1" x14ac:dyDescent="0.2">
      <c r="B231" s="7" t="s">
        <v>36</v>
      </c>
      <c r="C231" s="419">
        <v>43312</v>
      </c>
      <c r="D231" s="419">
        <v>43979</v>
      </c>
      <c r="E231" s="425">
        <v>10</v>
      </c>
      <c r="F231" s="271">
        <v>677812</v>
      </c>
      <c r="G231" s="269"/>
      <c r="H231" s="269">
        <f>9997.73+11.91+8.79</f>
        <v>10018.43</v>
      </c>
      <c r="I231" s="130">
        <f t="shared" si="12"/>
        <v>687830.43</v>
      </c>
      <c r="J231" s="130">
        <f t="shared" si="10"/>
        <v>687830.43</v>
      </c>
      <c r="K231" s="1"/>
      <c r="L231" s="1"/>
    </row>
    <row r="232" spans="2:12" ht="39" customHeight="1" outlineLevel="1" x14ac:dyDescent="0.2">
      <c r="B232" s="7" t="s">
        <v>532</v>
      </c>
      <c r="C232" s="419">
        <v>42853</v>
      </c>
      <c r="D232" s="419">
        <v>43830</v>
      </c>
      <c r="E232" s="425">
        <v>40</v>
      </c>
      <c r="F232" s="267">
        <v>3923.65</v>
      </c>
      <c r="G232" s="269"/>
      <c r="H232" s="269"/>
      <c r="I232" s="130">
        <f t="shared" si="12"/>
        <v>3923.65</v>
      </c>
      <c r="J232" s="130">
        <f t="shared" si="10"/>
        <v>3923.65</v>
      </c>
      <c r="K232" s="1"/>
      <c r="L232" s="1"/>
    </row>
    <row r="233" spans="2:12" ht="39" customHeight="1" outlineLevel="1" x14ac:dyDescent="0.2">
      <c r="B233" s="7" t="s">
        <v>533</v>
      </c>
      <c r="C233" s="419">
        <v>43440</v>
      </c>
      <c r="D233" s="419">
        <v>44092</v>
      </c>
      <c r="E233" s="425">
        <v>10</v>
      </c>
      <c r="F233" s="267">
        <v>228651.81</v>
      </c>
      <c r="G233" s="269"/>
      <c r="H233" s="269"/>
      <c r="I233" s="130">
        <f t="shared" si="12"/>
        <v>228651.81</v>
      </c>
      <c r="J233" s="130">
        <f t="shared" si="10"/>
        <v>228651.81</v>
      </c>
      <c r="K233" s="1"/>
      <c r="L233" s="1"/>
    </row>
    <row r="234" spans="2:12" ht="39" customHeight="1" outlineLevel="1" x14ac:dyDescent="0.2">
      <c r="B234" s="7" t="s">
        <v>534</v>
      </c>
      <c r="C234" s="419">
        <v>43404</v>
      </c>
      <c r="D234" s="419">
        <v>44007</v>
      </c>
      <c r="E234" s="425">
        <v>30</v>
      </c>
      <c r="F234" s="267">
        <v>318202.59000000003</v>
      </c>
      <c r="G234" s="269"/>
      <c r="H234" s="269"/>
      <c r="I234" s="130">
        <f t="shared" si="12"/>
        <v>318202.59000000003</v>
      </c>
      <c r="J234" s="130">
        <f t="shared" si="10"/>
        <v>318202.59000000003</v>
      </c>
      <c r="K234" s="1"/>
      <c r="L234" s="1"/>
    </row>
    <row r="235" spans="2:12" ht="18" customHeight="1" outlineLevel="1" x14ac:dyDescent="0.2">
      <c r="B235" s="7" t="s">
        <v>232</v>
      </c>
      <c r="C235" s="419">
        <v>43396</v>
      </c>
      <c r="D235" s="419">
        <v>43801</v>
      </c>
      <c r="E235" s="425">
        <v>30</v>
      </c>
      <c r="F235" s="271">
        <v>564879.57999999996</v>
      </c>
      <c r="G235" s="269">
        <v>25367.77</v>
      </c>
      <c r="H235" s="269">
        <v>8333.9699999999993</v>
      </c>
      <c r="I235" s="130">
        <f t="shared" si="12"/>
        <v>598581.31999999995</v>
      </c>
      <c r="J235" s="130">
        <f t="shared" si="10"/>
        <v>598581.31999999995</v>
      </c>
      <c r="K235" s="1"/>
      <c r="L235" s="1"/>
    </row>
    <row r="236" spans="2:12" ht="26.25" customHeight="1" outlineLevel="1" x14ac:dyDescent="0.2">
      <c r="B236" s="7" t="s">
        <v>233</v>
      </c>
      <c r="C236" s="419">
        <v>43281</v>
      </c>
      <c r="D236" s="419">
        <v>43860</v>
      </c>
      <c r="E236" s="425">
        <v>60</v>
      </c>
      <c r="F236" s="269">
        <v>652820.57999999996</v>
      </c>
      <c r="G236" s="269"/>
      <c r="H236" s="269"/>
      <c r="I236" s="130">
        <f t="shared" si="12"/>
        <v>652820.57999999996</v>
      </c>
      <c r="J236" s="130">
        <f t="shared" si="10"/>
        <v>652820.57999999996</v>
      </c>
      <c r="K236" s="21"/>
      <c r="L236" s="31"/>
    </row>
    <row r="237" spans="2:12" ht="26.25" customHeight="1" outlineLevel="1" x14ac:dyDescent="0.2">
      <c r="B237" s="7" t="s">
        <v>234</v>
      </c>
      <c r="C237" s="419">
        <v>43277</v>
      </c>
      <c r="D237" s="419">
        <v>43754</v>
      </c>
      <c r="E237" s="424">
        <v>40</v>
      </c>
      <c r="F237" s="267">
        <v>132787.74</v>
      </c>
      <c r="G237" s="269"/>
      <c r="H237" s="269">
        <v>6090.61</v>
      </c>
      <c r="I237" s="130">
        <f t="shared" si="12"/>
        <v>138878.34999999998</v>
      </c>
      <c r="J237" s="130">
        <f t="shared" si="10"/>
        <v>138878.34999999998</v>
      </c>
      <c r="K237" s="21"/>
      <c r="L237" s="31"/>
    </row>
    <row r="238" spans="2:12" ht="21.75" customHeight="1" outlineLevel="1" x14ac:dyDescent="0.2">
      <c r="B238" s="7" t="s">
        <v>131</v>
      </c>
      <c r="C238" s="419">
        <v>43281</v>
      </c>
      <c r="D238" s="419">
        <v>43956</v>
      </c>
      <c r="E238" s="424">
        <v>40</v>
      </c>
      <c r="F238" s="271">
        <v>484680.09</v>
      </c>
      <c r="G238" s="269">
        <v>37965.589999999997</v>
      </c>
      <c r="H238" s="269">
        <v>7149.03</v>
      </c>
      <c r="I238" s="130">
        <f t="shared" si="12"/>
        <v>529794.71000000008</v>
      </c>
      <c r="J238" s="130">
        <f t="shared" si="10"/>
        <v>529794.71000000008</v>
      </c>
      <c r="K238" s="1"/>
      <c r="L238" s="1"/>
    </row>
    <row r="239" spans="2:12" ht="39" customHeight="1" outlineLevel="1" x14ac:dyDescent="0.2">
      <c r="B239" s="7" t="s">
        <v>132</v>
      </c>
      <c r="C239" s="419">
        <v>43041</v>
      </c>
      <c r="D239" s="420">
        <v>43771</v>
      </c>
      <c r="E239" s="425">
        <v>60</v>
      </c>
      <c r="F239" s="269">
        <v>557792.26</v>
      </c>
      <c r="G239" s="266"/>
      <c r="H239" s="269"/>
      <c r="I239" s="130">
        <f t="shared" si="12"/>
        <v>557792.26</v>
      </c>
      <c r="J239" s="130">
        <f t="shared" si="10"/>
        <v>557792.26</v>
      </c>
      <c r="K239" s="1"/>
      <c r="L239" s="1"/>
    </row>
    <row r="240" spans="2:12" ht="39" customHeight="1" outlineLevel="1" x14ac:dyDescent="0.2">
      <c r="B240" s="7" t="s">
        <v>319</v>
      </c>
      <c r="C240" s="419">
        <v>42912</v>
      </c>
      <c r="D240" s="420">
        <v>43586</v>
      </c>
      <c r="E240" s="425">
        <v>40</v>
      </c>
      <c r="F240" s="269">
        <v>2144438</v>
      </c>
      <c r="G240" s="267">
        <v>36429926.609999999</v>
      </c>
      <c r="H240" s="269"/>
      <c r="I240" s="130">
        <f t="shared" si="12"/>
        <v>38574364.609999999</v>
      </c>
      <c r="J240" s="130">
        <f t="shared" si="10"/>
        <v>38574364.609999999</v>
      </c>
      <c r="K240" s="1"/>
      <c r="L240" s="1"/>
    </row>
    <row r="241" spans="2:12" ht="39" customHeight="1" outlineLevel="1" x14ac:dyDescent="0.2">
      <c r="B241" s="7" t="s">
        <v>320</v>
      </c>
      <c r="C241" s="419">
        <v>43340</v>
      </c>
      <c r="D241" s="420">
        <v>43702</v>
      </c>
      <c r="E241" s="425">
        <v>90</v>
      </c>
      <c r="F241" s="267">
        <v>935128.84</v>
      </c>
      <c r="G241" s="267">
        <v>250000</v>
      </c>
      <c r="H241" s="269">
        <v>14698.64</v>
      </c>
      <c r="I241" s="130">
        <f t="shared" si="12"/>
        <v>1199827.4799999997</v>
      </c>
      <c r="J241" s="130">
        <f t="shared" si="10"/>
        <v>1199827.4799999997</v>
      </c>
      <c r="K241" s="1"/>
      <c r="L241" s="1"/>
    </row>
    <row r="242" spans="2:12" ht="39" customHeight="1" outlineLevel="1" x14ac:dyDescent="0.2">
      <c r="B242" s="7" t="s">
        <v>321</v>
      </c>
      <c r="C242" s="419">
        <v>43312</v>
      </c>
      <c r="D242" s="420">
        <v>43991</v>
      </c>
      <c r="E242" s="425">
        <v>30</v>
      </c>
      <c r="F242" s="269"/>
      <c r="G242" s="266"/>
      <c r="H242" s="269">
        <v>36279.64</v>
      </c>
      <c r="I242" s="130">
        <f t="shared" si="12"/>
        <v>36279.64</v>
      </c>
      <c r="J242" s="130">
        <f t="shared" si="10"/>
        <v>36279.64</v>
      </c>
      <c r="K242" s="1"/>
      <c r="L242" s="1"/>
    </row>
    <row r="243" spans="2:12" ht="39" customHeight="1" outlineLevel="1" x14ac:dyDescent="0.2">
      <c r="B243" s="7" t="s">
        <v>322</v>
      </c>
      <c r="C243" s="419">
        <v>43312</v>
      </c>
      <c r="D243" s="420">
        <v>43799</v>
      </c>
      <c r="E243" s="425">
        <v>5</v>
      </c>
      <c r="F243" s="267">
        <v>708807.37</v>
      </c>
      <c r="G243" s="266"/>
      <c r="H243" s="269">
        <v>11131.16</v>
      </c>
      <c r="I243" s="130">
        <f t="shared" si="12"/>
        <v>719938.53</v>
      </c>
      <c r="J243" s="130">
        <f t="shared" si="10"/>
        <v>719938.53</v>
      </c>
      <c r="K243" s="1"/>
      <c r="L243" s="1"/>
    </row>
    <row r="244" spans="2:12" s="163" customFormat="1" ht="24.75" customHeight="1" outlineLevel="1" x14ac:dyDescent="0.2">
      <c r="B244" s="8" t="s">
        <v>323</v>
      </c>
      <c r="C244" s="419">
        <v>43312</v>
      </c>
      <c r="D244" s="420">
        <v>43988</v>
      </c>
      <c r="E244" s="425">
        <v>30</v>
      </c>
      <c r="F244" s="267">
        <v>182419.63</v>
      </c>
      <c r="G244" s="266"/>
      <c r="H244" s="272">
        <f>30781.19-28090.5</f>
        <v>2690.6899999999987</v>
      </c>
      <c r="I244" s="130">
        <f t="shared" si="12"/>
        <v>185110.32</v>
      </c>
      <c r="J244" s="130">
        <f t="shared" si="10"/>
        <v>185110.32</v>
      </c>
      <c r="K244" s="25"/>
      <c r="L244" s="25"/>
    </row>
    <row r="245" spans="2:12" s="163" customFormat="1" ht="24.75" customHeight="1" outlineLevel="1" x14ac:dyDescent="0.2">
      <c r="B245" s="8" t="s">
        <v>133</v>
      </c>
      <c r="C245" s="419">
        <v>43312</v>
      </c>
      <c r="D245" s="420">
        <v>43962</v>
      </c>
      <c r="E245" s="425">
        <v>60</v>
      </c>
      <c r="F245" s="267">
        <f>2613049.07-2266006.07</f>
        <v>347043</v>
      </c>
      <c r="G245" s="266">
        <f>31184.1+11342453.39</f>
        <v>11373637.49</v>
      </c>
      <c r="H245" s="271">
        <v>34177.870000000003</v>
      </c>
      <c r="I245" s="130">
        <f t="shared" si="12"/>
        <v>11754858.359999999</v>
      </c>
      <c r="J245" s="130">
        <f t="shared" si="10"/>
        <v>11754858.359999999</v>
      </c>
      <c r="K245" s="25"/>
      <c r="L245" s="25"/>
    </row>
    <row r="246" spans="2:12" ht="39" customHeight="1" outlineLevel="1" x14ac:dyDescent="0.2">
      <c r="B246" s="8" t="s">
        <v>24</v>
      </c>
      <c r="C246" s="419">
        <v>42912</v>
      </c>
      <c r="D246" s="420">
        <v>43647</v>
      </c>
      <c r="E246" s="425">
        <v>95</v>
      </c>
      <c r="F246" s="271">
        <v>424486.65</v>
      </c>
      <c r="G246" s="269"/>
      <c r="H246" s="269">
        <v>183605.77</v>
      </c>
      <c r="I246" s="130">
        <f t="shared" si="12"/>
        <v>608092.42000000004</v>
      </c>
      <c r="J246" s="130">
        <f t="shared" si="10"/>
        <v>608092.42000000004</v>
      </c>
      <c r="K246" s="1"/>
      <c r="L246" s="1"/>
    </row>
    <row r="247" spans="2:12" s="163" customFormat="1" ht="30" customHeight="1" outlineLevel="1" x14ac:dyDescent="0.2">
      <c r="B247" s="7" t="s">
        <v>558</v>
      </c>
      <c r="C247" s="419">
        <v>42331</v>
      </c>
      <c r="D247" s="420">
        <v>43647</v>
      </c>
      <c r="E247" s="425">
        <v>40</v>
      </c>
      <c r="F247" s="267"/>
      <c r="G247" s="268">
        <v>36534</v>
      </c>
      <c r="H247" s="273"/>
      <c r="I247" s="130">
        <f t="shared" ref="I247:I254" si="13">G247</f>
        <v>36534</v>
      </c>
      <c r="J247" s="130">
        <f t="shared" si="10"/>
        <v>36534</v>
      </c>
      <c r="K247" s="25"/>
      <c r="L247" s="25"/>
    </row>
    <row r="248" spans="2:12" s="163" customFormat="1" ht="41.25" customHeight="1" outlineLevel="1" x14ac:dyDescent="0.2">
      <c r="B248" s="7" t="s">
        <v>559</v>
      </c>
      <c r="C248" s="419">
        <v>43434</v>
      </c>
      <c r="D248" s="419">
        <v>43830</v>
      </c>
      <c r="E248" s="425">
        <v>40</v>
      </c>
      <c r="F248" s="273"/>
      <c r="G248" s="266">
        <v>84060.71</v>
      </c>
      <c r="H248" s="273"/>
      <c r="I248" s="130">
        <f t="shared" si="13"/>
        <v>84060.71</v>
      </c>
      <c r="J248" s="130">
        <f t="shared" si="10"/>
        <v>84060.71</v>
      </c>
      <c r="K248" s="25"/>
      <c r="L248" s="25"/>
    </row>
    <row r="249" spans="2:12" s="163" customFormat="1" ht="15.75" customHeight="1" outlineLevel="1" x14ac:dyDescent="0.2">
      <c r="B249" s="7" t="s">
        <v>560</v>
      </c>
      <c r="C249" s="419">
        <v>43434</v>
      </c>
      <c r="D249" s="419">
        <v>43830</v>
      </c>
      <c r="E249" s="425">
        <v>40</v>
      </c>
      <c r="F249" s="273"/>
      <c r="G249" s="266">
        <v>81428.679999999993</v>
      </c>
      <c r="H249" s="273"/>
      <c r="I249" s="130">
        <f t="shared" si="13"/>
        <v>81428.679999999993</v>
      </c>
      <c r="J249" s="130">
        <f t="shared" si="10"/>
        <v>81428.679999999993</v>
      </c>
      <c r="K249" s="25"/>
      <c r="L249" s="25"/>
    </row>
    <row r="250" spans="2:12" s="163" customFormat="1" ht="38.25" customHeight="1" outlineLevel="1" x14ac:dyDescent="0.2">
      <c r="B250" s="7" t="s">
        <v>561</v>
      </c>
      <c r="C250" s="419">
        <v>43434</v>
      </c>
      <c r="D250" s="419">
        <v>43830</v>
      </c>
      <c r="E250" s="425">
        <v>40</v>
      </c>
      <c r="F250" s="273"/>
      <c r="G250" s="266">
        <v>494472.14</v>
      </c>
      <c r="H250" s="273"/>
      <c r="I250" s="130">
        <f t="shared" si="13"/>
        <v>494472.14</v>
      </c>
      <c r="J250" s="130">
        <f t="shared" si="10"/>
        <v>494472.14</v>
      </c>
      <c r="K250" s="25"/>
      <c r="L250" s="25"/>
    </row>
    <row r="251" spans="2:12" s="163" customFormat="1" ht="44.25" customHeight="1" outlineLevel="1" x14ac:dyDescent="0.2">
      <c r="B251" s="7" t="s">
        <v>562</v>
      </c>
      <c r="C251" s="419">
        <v>43434</v>
      </c>
      <c r="D251" s="419">
        <v>43830</v>
      </c>
      <c r="E251" s="425">
        <v>40</v>
      </c>
      <c r="F251" s="273"/>
      <c r="G251" s="266">
        <v>17790.62</v>
      </c>
      <c r="H251" s="273"/>
      <c r="I251" s="130">
        <f t="shared" si="13"/>
        <v>17790.62</v>
      </c>
      <c r="J251" s="130">
        <f t="shared" si="10"/>
        <v>17790.62</v>
      </c>
      <c r="K251" s="25"/>
      <c r="L251" s="25"/>
    </row>
    <row r="252" spans="2:12" s="163" customFormat="1" ht="22.5" customHeight="1" outlineLevel="1" x14ac:dyDescent="0.2">
      <c r="B252" s="7" t="s">
        <v>563</v>
      </c>
      <c r="C252" s="419">
        <v>43434</v>
      </c>
      <c r="D252" s="419">
        <v>43830</v>
      </c>
      <c r="E252" s="425">
        <v>40</v>
      </c>
      <c r="F252" s="273"/>
      <c r="G252" s="266">
        <v>5802.58</v>
      </c>
      <c r="H252" s="273"/>
      <c r="I252" s="130">
        <f t="shared" si="13"/>
        <v>5802.58</v>
      </c>
      <c r="J252" s="130">
        <f t="shared" si="10"/>
        <v>5802.58</v>
      </c>
      <c r="K252" s="25"/>
      <c r="L252" s="25"/>
    </row>
    <row r="253" spans="2:12" s="163" customFormat="1" ht="22.5" customHeight="1" outlineLevel="1" x14ac:dyDescent="0.2">
      <c r="B253" s="7" t="s">
        <v>564</v>
      </c>
      <c r="C253" s="419">
        <v>43434</v>
      </c>
      <c r="D253" s="419">
        <v>43830</v>
      </c>
      <c r="E253" s="425">
        <v>40</v>
      </c>
      <c r="F253" s="273"/>
      <c r="G253" s="266">
        <v>40693</v>
      </c>
      <c r="H253" s="273"/>
      <c r="I253" s="130">
        <f t="shared" si="13"/>
        <v>40693</v>
      </c>
      <c r="J253" s="130">
        <f t="shared" si="10"/>
        <v>40693</v>
      </c>
      <c r="K253" s="25"/>
      <c r="L253" s="25"/>
    </row>
    <row r="254" spans="2:12" s="163" customFormat="1" ht="30" customHeight="1" outlineLevel="1" thickBot="1" x14ac:dyDescent="0.25">
      <c r="B254" s="226" t="s">
        <v>565</v>
      </c>
      <c r="C254" s="419">
        <v>43434</v>
      </c>
      <c r="D254" s="419">
        <v>43830</v>
      </c>
      <c r="E254" s="425">
        <v>40</v>
      </c>
      <c r="F254" s="227"/>
      <c r="G254" s="274">
        <v>19360.59</v>
      </c>
      <c r="H254" s="227"/>
      <c r="I254" s="227">
        <f t="shared" si="13"/>
        <v>19360.59</v>
      </c>
      <c r="J254" s="227">
        <f t="shared" si="10"/>
        <v>19360.59</v>
      </c>
      <c r="K254" s="228"/>
      <c r="L254" s="229"/>
    </row>
    <row r="255" spans="2:12" s="163" customFormat="1" ht="22.5" customHeight="1" thickBot="1" x14ac:dyDescent="0.25">
      <c r="B255" s="234"/>
      <c r="C255" s="423"/>
      <c r="D255" s="423"/>
      <c r="E255" s="427"/>
      <c r="F255" s="235">
        <f>SUM(F11:F254)</f>
        <v>659746253.36000001</v>
      </c>
      <c r="G255" s="235">
        <f>SUM(G11:G254)</f>
        <v>816134781.11000025</v>
      </c>
      <c r="H255" s="235">
        <f>SUM(H11:H254)</f>
        <v>136263877.83000004</v>
      </c>
      <c r="I255" s="235">
        <f>SUM(I11:I254)</f>
        <v>1612144912.2999995</v>
      </c>
      <c r="J255" s="235">
        <f t="shared" si="10"/>
        <v>1612144912.2999995</v>
      </c>
      <c r="K255" s="236"/>
      <c r="L255" s="237"/>
    </row>
    <row r="256" spans="2:12" s="163" customFormat="1" ht="22.5" customHeight="1" x14ac:dyDescent="0.2">
      <c r="B256" s="230"/>
      <c r="C256" s="325"/>
      <c r="D256" s="325"/>
      <c r="E256" s="326"/>
      <c r="F256" s="231"/>
      <c r="G256" s="231"/>
      <c r="H256" s="231"/>
      <c r="I256" s="231"/>
      <c r="J256" s="231"/>
      <c r="K256" s="232"/>
      <c r="L256" s="233"/>
    </row>
    <row r="257" spans="2:37" ht="24.75" customHeight="1" x14ac:dyDescent="0.2">
      <c r="B257" s="40" t="s">
        <v>18</v>
      </c>
      <c r="C257" s="327"/>
      <c r="D257" s="327"/>
      <c r="E257" s="328"/>
      <c r="F257" s="239"/>
      <c r="G257" s="239"/>
      <c r="H257" s="239"/>
      <c r="I257" s="131"/>
      <c r="J257" s="131"/>
      <c r="K257" s="35"/>
      <c r="L257" s="19"/>
    </row>
    <row r="258" spans="2:37" s="163" customFormat="1" ht="26.25" customHeight="1" x14ac:dyDescent="0.2">
      <c r="B258" s="165" t="s">
        <v>134</v>
      </c>
      <c r="C258" s="329"/>
      <c r="D258" s="330"/>
      <c r="E258" s="331"/>
      <c r="F258" s="166"/>
      <c r="G258" s="166"/>
      <c r="H258" s="239"/>
      <c r="I258" s="166"/>
      <c r="J258" s="275"/>
      <c r="K258" s="167"/>
      <c r="L258" s="168"/>
    </row>
    <row r="259" spans="2:37" s="173" customFormat="1" ht="33.75" customHeight="1" outlineLevel="1" x14ac:dyDescent="0.2">
      <c r="B259" s="46" t="s">
        <v>249</v>
      </c>
      <c r="C259" s="330">
        <v>43040</v>
      </c>
      <c r="D259" s="330">
        <v>43711</v>
      </c>
      <c r="E259" s="332">
        <v>40</v>
      </c>
      <c r="F259" s="276">
        <v>8500</v>
      </c>
      <c r="G259" s="275">
        <v>102517.4</v>
      </c>
      <c r="H259" s="239"/>
      <c r="I259" s="169">
        <f t="shared" ref="I259:I290" si="14">F259+G259</f>
        <v>111017.4</v>
      </c>
      <c r="J259" s="277">
        <v>111017.4</v>
      </c>
      <c r="K259" s="170">
        <f t="shared" ref="K259:K290" si="15">I259-J259</f>
        <v>0</v>
      </c>
      <c r="L259" s="171">
        <f t="shared" ref="L259:L290" si="16">I259-J259</f>
        <v>0</v>
      </c>
      <c r="M259" s="172"/>
      <c r="N259" s="172"/>
      <c r="O259" s="172"/>
      <c r="P259" s="172"/>
      <c r="Q259" s="172"/>
      <c r="R259" s="172"/>
      <c r="S259" s="172"/>
      <c r="T259" s="172"/>
      <c r="U259" s="172"/>
      <c r="V259" s="172"/>
      <c r="W259" s="172"/>
      <c r="X259" s="172"/>
      <c r="Y259" s="172"/>
      <c r="Z259" s="172"/>
      <c r="AA259" s="172"/>
      <c r="AB259" s="172"/>
      <c r="AC259" s="172"/>
      <c r="AD259" s="172"/>
      <c r="AE259" s="172"/>
      <c r="AF259" s="172"/>
      <c r="AG259" s="172"/>
      <c r="AH259" s="172"/>
      <c r="AI259" s="172"/>
      <c r="AJ259" s="172"/>
      <c r="AK259" s="172"/>
    </row>
    <row r="260" spans="2:37" s="163" customFormat="1" ht="60" customHeight="1" outlineLevel="1" x14ac:dyDescent="0.2">
      <c r="B260" s="46" t="s">
        <v>58</v>
      </c>
      <c r="C260" s="330">
        <v>42826</v>
      </c>
      <c r="D260" s="330">
        <v>43723</v>
      </c>
      <c r="E260" s="332">
        <v>40</v>
      </c>
      <c r="F260" s="276">
        <v>20000</v>
      </c>
      <c r="G260" s="275">
        <v>57972.1</v>
      </c>
      <c r="H260" s="275"/>
      <c r="I260" s="169">
        <f t="shared" si="14"/>
        <v>77972.100000000006</v>
      </c>
      <c r="J260" s="277">
        <v>77972.100000000006</v>
      </c>
      <c r="K260" s="170">
        <f t="shared" si="15"/>
        <v>0</v>
      </c>
      <c r="L260" s="171">
        <f t="shared" si="16"/>
        <v>0</v>
      </c>
    </row>
    <row r="261" spans="2:37" ht="39" customHeight="1" outlineLevel="1" x14ac:dyDescent="0.2">
      <c r="B261" s="46" t="s">
        <v>55</v>
      </c>
      <c r="C261" s="330">
        <v>42491</v>
      </c>
      <c r="D261" s="330">
        <v>43903</v>
      </c>
      <c r="E261" s="332">
        <v>40</v>
      </c>
      <c r="F261" s="276"/>
      <c r="G261" s="275">
        <v>60248.6</v>
      </c>
      <c r="H261" s="239"/>
      <c r="I261" s="169">
        <f t="shared" si="14"/>
        <v>60248.6</v>
      </c>
      <c r="J261" s="277">
        <v>60248.6</v>
      </c>
      <c r="K261" s="170">
        <f t="shared" si="15"/>
        <v>0</v>
      </c>
      <c r="L261" s="171">
        <f t="shared" si="16"/>
        <v>0</v>
      </c>
    </row>
    <row r="262" spans="2:37" ht="47.25" customHeight="1" outlineLevel="1" x14ac:dyDescent="0.2">
      <c r="B262" s="46" t="s">
        <v>56</v>
      </c>
      <c r="C262" s="330">
        <v>43009</v>
      </c>
      <c r="D262" s="330">
        <v>43617</v>
      </c>
      <c r="E262" s="332">
        <v>10</v>
      </c>
      <c r="F262" s="278">
        <v>9500</v>
      </c>
      <c r="G262" s="276"/>
      <c r="H262" s="239"/>
      <c r="I262" s="169">
        <f t="shared" si="14"/>
        <v>9500</v>
      </c>
      <c r="J262" s="277">
        <v>9500</v>
      </c>
      <c r="K262" s="170">
        <f t="shared" si="15"/>
        <v>0</v>
      </c>
      <c r="L262" s="171">
        <f t="shared" si="16"/>
        <v>0</v>
      </c>
    </row>
    <row r="263" spans="2:37" s="173" customFormat="1" ht="39" customHeight="1" outlineLevel="1" x14ac:dyDescent="0.2">
      <c r="B263" s="46" t="s">
        <v>324</v>
      </c>
      <c r="C263" s="330">
        <v>43252</v>
      </c>
      <c r="D263" s="330">
        <v>43496</v>
      </c>
      <c r="E263" s="332">
        <v>40</v>
      </c>
      <c r="F263" s="276"/>
      <c r="G263" s="275">
        <v>46279.49</v>
      </c>
      <c r="H263" s="239"/>
      <c r="I263" s="169">
        <f t="shared" si="14"/>
        <v>46279.49</v>
      </c>
      <c r="J263" s="277">
        <v>46279.49</v>
      </c>
      <c r="K263" s="170">
        <f t="shared" si="15"/>
        <v>0</v>
      </c>
      <c r="L263" s="171">
        <f t="shared" si="16"/>
        <v>0</v>
      </c>
      <c r="M263" s="172"/>
      <c r="N263" s="172"/>
      <c r="O263" s="172"/>
      <c r="P263" s="172"/>
      <c r="Q263" s="172"/>
      <c r="R263" s="172"/>
      <c r="S263" s="172"/>
      <c r="T263" s="172"/>
      <c r="U263" s="172"/>
      <c r="V263" s="172"/>
      <c r="W263" s="172"/>
      <c r="X263" s="172"/>
      <c r="Y263" s="172"/>
      <c r="Z263" s="172"/>
      <c r="AA263" s="172"/>
      <c r="AB263" s="172"/>
      <c r="AC263" s="172"/>
      <c r="AD263" s="172"/>
      <c r="AE263" s="172"/>
      <c r="AF263" s="172"/>
      <c r="AG263" s="172"/>
      <c r="AH263" s="172"/>
      <c r="AI263" s="172"/>
      <c r="AJ263" s="172"/>
      <c r="AK263" s="172"/>
    </row>
    <row r="264" spans="2:37" s="173" customFormat="1" ht="39" customHeight="1" outlineLevel="1" x14ac:dyDescent="0.2">
      <c r="B264" s="46" t="s">
        <v>326</v>
      </c>
      <c r="C264" s="330">
        <v>43282</v>
      </c>
      <c r="D264" s="330">
        <v>43536</v>
      </c>
      <c r="E264" s="332">
        <v>40</v>
      </c>
      <c r="F264" s="276"/>
      <c r="G264" s="276">
        <v>30651.35</v>
      </c>
      <c r="H264" s="239"/>
      <c r="I264" s="169">
        <f t="shared" si="14"/>
        <v>30651.35</v>
      </c>
      <c r="J264" s="277">
        <v>30651.35</v>
      </c>
      <c r="K264" s="170">
        <f t="shared" si="15"/>
        <v>0</v>
      </c>
      <c r="L264" s="171">
        <f t="shared" si="16"/>
        <v>0</v>
      </c>
      <c r="M264" s="172"/>
      <c r="N264" s="172"/>
      <c r="O264" s="172"/>
      <c r="P264" s="172"/>
      <c r="Q264" s="172"/>
      <c r="R264" s="172"/>
      <c r="S264" s="172"/>
      <c r="T264" s="172"/>
      <c r="U264" s="172"/>
      <c r="V264" s="172"/>
      <c r="W264" s="172"/>
      <c r="X264" s="172"/>
      <c r="Y264" s="172"/>
      <c r="Z264" s="172"/>
      <c r="AA264" s="172"/>
      <c r="AB264" s="172"/>
      <c r="AC264" s="172"/>
      <c r="AD264" s="172"/>
      <c r="AE264" s="172"/>
      <c r="AF264" s="172"/>
      <c r="AG264" s="172"/>
      <c r="AH264" s="172"/>
      <c r="AI264" s="172"/>
      <c r="AJ264" s="172"/>
      <c r="AK264" s="172"/>
    </row>
    <row r="265" spans="2:37" s="173" customFormat="1" ht="39" customHeight="1" outlineLevel="1" x14ac:dyDescent="0.2">
      <c r="B265" s="46" t="s">
        <v>325</v>
      </c>
      <c r="C265" s="330">
        <v>43282</v>
      </c>
      <c r="D265" s="330">
        <v>43646</v>
      </c>
      <c r="E265" s="332">
        <v>40</v>
      </c>
      <c r="F265" s="276"/>
      <c r="G265" s="275">
        <v>27130.44</v>
      </c>
      <c r="H265" s="239"/>
      <c r="I265" s="169">
        <f t="shared" si="14"/>
        <v>27130.44</v>
      </c>
      <c r="J265" s="277">
        <v>27130.44</v>
      </c>
      <c r="K265" s="170">
        <f t="shared" si="15"/>
        <v>0</v>
      </c>
      <c r="L265" s="171">
        <f t="shared" si="16"/>
        <v>0</v>
      </c>
      <c r="M265" s="172"/>
      <c r="N265" s="172"/>
      <c r="O265" s="172"/>
      <c r="P265" s="172"/>
      <c r="Q265" s="172"/>
      <c r="R265" s="172"/>
      <c r="S265" s="172"/>
      <c r="T265" s="172"/>
      <c r="U265" s="172"/>
      <c r="V265" s="172"/>
      <c r="W265" s="172"/>
      <c r="X265" s="172"/>
      <c r="Y265" s="172"/>
      <c r="Z265" s="172"/>
      <c r="AA265" s="172"/>
      <c r="AB265" s="172"/>
      <c r="AC265" s="172"/>
      <c r="AD265" s="172"/>
      <c r="AE265" s="172"/>
      <c r="AF265" s="172"/>
      <c r="AG265" s="172"/>
      <c r="AH265" s="172"/>
      <c r="AI265" s="172"/>
      <c r="AJ265" s="172"/>
      <c r="AK265" s="172"/>
    </row>
    <row r="266" spans="2:37" ht="49.5" customHeight="1" outlineLevel="1" x14ac:dyDescent="0.2">
      <c r="B266" s="46" t="s">
        <v>567</v>
      </c>
      <c r="C266" s="330">
        <v>43435</v>
      </c>
      <c r="D266" s="330">
        <v>43641</v>
      </c>
      <c r="E266" s="332">
        <v>40</v>
      </c>
      <c r="F266" s="276"/>
      <c r="G266" s="279">
        <v>24007.53</v>
      </c>
      <c r="H266" s="239"/>
      <c r="I266" s="169">
        <f t="shared" si="14"/>
        <v>24007.53</v>
      </c>
      <c r="J266" s="277">
        <v>24007.53</v>
      </c>
      <c r="K266" s="170">
        <f t="shared" si="15"/>
        <v>0</v>
      </c>
      <c r="L266" s="171">
        <f t="shared" si="16"/>
        <v>0</v>
      </c>
    </row>
    <row r="267" spans="2:37" s="163" customFormat="1" ht="39" customHeight="1" outlineLevel="1" x14ac:dyDescent="0.2">
      <c r="B267" s="46" t="s">
        <v>568</v>
      </c>
      <c r="C267" s="330">
        <v>43435</v>
      </c>
      <c r="D267" s="330">
        <v>43615</v>
      </c>
      <c r="E267" s="332">
        <v>40</v>
      </c>
      <c r="F267" s="276"/>
      <c r="G267" s="275">
        <v>23620.400000000001</v>
      </c>
      <c r="H267" s="239"/>
      <c r="I267" s="169">
        <f t="shared" si="14"/>
        <v>23620.400000000001</v>
      </c>
      <c r="J267" s="277">
        <v>23620.400000000001</v>
      </c>
      <c r="K267" s="170">
        <f t="shared" si="15"/>
        <v>0</v>
      </c>
      <c r="L267" s="171">
        <f t="shared" si="16"/>
        <v>0</v>
      </c>
    </row>
    <row r="268" spans="2:37" s="163" customFormat="1" ht="39" customHeight="1" outlineLevel="1" x14ac:dyDescent="0.2">
      <c r="B268" s="46" t="s">
        <v>569</v>
      </c>
      <c r="C268" s="330">
        <v>43435</v>
      </c>
      <c r="D268" s="330">
        <v>43672</v>
      </c>
      <c r="E268" s="332">
        <v>40</v>
      </c>
      <c r="F268" s="276">
        <v>10300</v>
      </c>
      <c r="G268" s="275">
        <v>23430.32</v>
      </c>
      <c r="H268" s="239"/>
      <c r="I268" s="169">
        <f t="shared" si="14"/>
        <v>33730.32</v>
      </c>
      <c r="J268" s="277">
        <v>33730.32</v>
      </c>
      <c r="K268" s="170">
        <f t="shared" si="15"/>
        <v>0</v>
      </c>
      <c r="L268" s="171">
        <f t="shared" si="16"/>
        <v>0</v>
      </c>
    </row>
    <row r="269" spans="2:37" s="163" customFormat="1" ht="45.75" customHeight="1" outlineLevel="1" x14ac:dyDescent="0.2">
      <c r="B269" s="46" t="s">
        <v>570</v>
      </c>
      <c r="C269" s="330">
        <v>43435</v>
      </c>
      <c r="D269" s="330">
        <v>43641</v>
      </c>
      <c r="E269" s="332">
        <v>40</v>
      </c>
      <c r="F269" s="276"/>
      <c r="G269" s="275">
        <v>20607.5</v>
      </c>
      <c r="H269" s="239"/>
      <c r="I269" s="169">
        <f t="shared" si="14"/>
        <v>20607.5</v>
      </c>
      <c r="J269" s="277">
        <v>20607.5</v>
      </c>
      <c r="K269" s="170">
        <f t="shared" si="15"/>
        <v>0</v>
      </c>
      <c r="L269" s="171">
        <f t="shared" si="16"/>
        <v>0</v>
      </c>
    </row>
    <row r="270" spans="2:37" s="163" customFormat="1" ht="45" customHeight="1" outlineLevel="1" x14ac:dyDescent="0.2">
      <c r="B270" s="46" t="s">
        <v>327</v>
      </c>
      <c r="C270" s="330">
        <v>43252</v>
      </c>
      <c r="D270" s="330">
        <v>43475</v>
      </c>
      <c r="E270" s="332">
        <v>10</v>
      </c>
      <c r="F270" s="278">
        <v>20400</v>
      </c>
      <c r="G270" s="276"/>
      <c r="H270" s="239"/>
      <c r="I270" s="169">
        <f t="shared" si="14"/>
        <v>20400</v>
      </c>
      <c r="J270" s="277">
        <v>20400</v>
      </c>
      <c r="K270" s="170">
        <f t="shared" si="15"/>
        <v>0</v>
      </c>
      <c r="L270" s="171">
        <f t="shared" si="16"/>
        <v>0</v>
      </c>
    </row>
    <row r="271" spans="2:37" s="163" customFormat="1" ht="39" customHeight="1" outlineLevel="1" x14ac:dyDescent="0.2">
      <c r="B271" s="46" t="s">
        <v>571</v>
      </c>
      <c r="C271" s="330">
        <v>43435</v>
      </c>
      <c r="D271" s="330">
        <v>43641</v>
      </c>
      <c r="E271" s="332">
        <v>40</v>
      </c>
      <c r="F271" s="276"/>
      <c r="G271" s="275">
        <v>19609.939999999999</v>
      </c>
      <c r="H271" s="239"/>
      <c r="I271" s="169">
        <f t="shared" si="14"/>
        <v>19609.939999999999</v>
      </c>
      <c r="J271" s="277">
        <v>19609.939999999999</v>
      </c>
      <c r="K271" s="170">
        <f t="shared" si="15"/>
        <v>0</v>
      </c>
      <c r="L271" s="171">
        <f t="shared" si="16"/>
        <v>0</v>
      </c>
    </row>
    <row r="272" spans="2:37" s="163" customFormat="1" ht="39" customHeight="1" outlineLevel="1" x14ac:dyDescent="0.2">
      <c r="B272" s="46" t="s">
        <v>572</v>
      </c>
      <c r="C272" s="330">
        <v>43435</v>
      </c>
      <c r="D272" s="330">
        <v>43542</v>
      </c>
      <c r="E272" s="332">
        <v>40</v>
      </c>
      <c r="F272" s="276"/>
      <c r="G272" s="279">
        <v>19353.419999999998</v>
      </c>
      <c r="H272" s="239"/>
      <c r="I272" s="169">
        <f t="shared" si="14"/>
        <v>19353.419999999998</v>
      </c>
      <c r="J272" s="277">
        <v>19353.419999999998</v>
      </c>
      <c r="K272" s="170">
        <f t="shared" si="15"/>
        <v>0</v>
      </c>
      <c r="L272" s="171">
        <f t="shared" si="16"/>
        <v>0</v>
      </c>
    </row>
    <row r="273" spans="2:37" s="175" customFormat="1" ht="39" customHeight="1" outlineLevel="1" x14ac:dyDescent="0.2">
      <c r="B273" s="46" t="s">
        <v>573</v>
      </c>
      <c r="C273" s="330">
        <v>43435</v>
      </c>
      <c r="D273" s="330">
        <v>43672</v>
      </c>
      <c r="E273" s="332">
        <v>40</v>
      </c>
      <c r="F273" s="276"/>
      <c r="G273" s="275">
        <v>17376.04</v>
      </c>
      <c r="H273" s="239"/>
      <c r="I273" s="169">
        <f t="shared" si="14"/>
        <v>17376.04</v>
      </c>
      <c r="J273" s="277">
        <v>17376.04</v>
      </c>
      <c r="K273" s="170">
        <f t="shared" si="15"/>
        <v>0</v>
      </c>
      <c r="L273" s="171">
        <f t="shared" si="16"/>
        <v>0</v>
      </c>
      <c r="M273" s="174"/>
      <c r="N273" s="174"/>
      <c r="O273" s="174"/>
      <c r="P273" s="174"/>
      <c r="Q273" s="174"/>
      <c r="R273" s="174"/>
      <c r="S273" s="174"/>
      <c r="T273" s="174"/>
      <c r="U273" s="174"/>
      <c r="V273" s="174"/>
      <c r="W273" s="174"/>
      <c r="X273" s="174"/>
      <c r="Y273" s="174"/>
      <c r="Z273" s="174"/>
      <c r="AA273" s="174"/>
      <c r="AB273" s="174"/>
      <c r="AC273" s="174"/>
      <c r="AD273" s="174"/>
      <c r="AE273" s="174"/>
      <c r="AF273" s="174"/>
      <c r="AG273" s="174"/>
      <c r="AH273" s="174"/>
      <c r="AI273" s="174"/>
      <c r="AJ273" s="174"/>
      <c r="AK273" s="174"/>
    </row>
    <row r="274" spans="2:37" ht="66" customHeight="1" outlineLevel="1" x14ac:dyDescent="0.2">
      <c r="B274" s="46" t="s">
        <v>328</v>
      </c>
      <c r="C274" s="330">
        <v>43435</v>
      </c>
      <c r="D274" s="330">
        <v>43590</v>
      </c>
      <c r="E274" s="332">
        <v>10</v>
      </c>
      <c r="F274" s="280">
        <v>65200</v>
      </c>
      <c r="G274" s="280"/>
      <c r="H274" s="239"/>
      <c r="I274" s="169">
        <f t="shared" si="14"/>
        <v>65200</v>
      </c>
      <c r="J274" s="277">
        <v>65200</v>
      </c>
      <c r="K274" s="170">
        <f t="shared" si="15"/>
        <v>0</v>
      </c>
      <c r="L274" s="171">
        <f t="shared" si="16"/>
        <v>0</v>
      </c>
    </row>
    <row r="275" spans="2:37" s="163" customFormat="1" ht="39" customHeight="1" outlineLevel="1" x14ac:dyDescent="0.2">
      <c r="B275" s="46" t="s">
        <v>574</v>
      </c>
      <c r="C275" s="330">
        <v>43313</v>
      </c>
      <c r="D275" s="330">
        <v>43668</v>
      </c>
      <c r="E275" s="332">
        <v>10</v>
      </c>
      <c r="F275" s="278"/>
      <c r="G275" s="279">
        <v>14185.43</v>
      </c>
      <c r="H275" s="239"/>
      <c r="I275" s="169">
        <f t="shared" si="14"/>
        <v>14185.43</v>
      </c>
      <c r="J275" s="277">
        <v>14185.43</v>
      </c>
      <c r="K275" s="170">
        <f t="shared" si="15"/>
        <v>0</v>
      </c>
      <c r="L275" s="171">
        <f t="shared" si="16"/>
        <v>0</v>
      </c>
    </row>
    <row r="276" spans="2:37" s="163" customFormat="1" ht="39" customHeight="1" outlineLevel="1" x14ac:dyDescent="0.2">
      <c r="B276" s="46" t="s">
        <v>575</v>
      </c>
      <c r="C276" s="330">
        <v>43435</v>
      </c>
      <c r="D276" s="330">
        <v>43571</v>
      </c>
      <c r="E276" s="332">
        <v>40</v>
      </c>
      <c r="F276" s="276"/>
      <c r="G276" s="275">
        <v>12664.06</v>
      </c>
      <c r="H276" s="239"/>
      <c r="I276" s="169">
        <f t="shared" si="14"/>
        <v>12664.06</v>
      </c>
      <c r="J276" s="277">
        <v>12664.06</v>
      </c>
      <c r="K276" s="170">
        <f t="shared" si="15"/>
        <v>0</v>
      </c>
      <c r="L276" s="171">
        <f t="shared" si="16"/>
        <v>0</v>
      </c>
    </row>
    <row r="277" spans="2:37" s="163" customFormat="1" ht="55.5" customHeight="1" outlineLevel="1" x14ac:dyDescent="0.2">
      <c r="B277" s="46" t="s">
        <v>57</v>
      </c>
      <c r="C277" s="330">
        <v>43435</v>
      </c>
      <c r="D277" s="330">
        <v>43632</v>
      </c>
      <c r="E277" s="332">
        <v>40</v>
      </c>
      <c r="F277" s="276">
        <v>5000</v>
      </c>
      <c r="G277" s="275">
        <v>6948.9</v>
      </c>
      <c r="H277" s="239"/>
      <c r="I277" s="169">
        <f t="shared" si="14"/>
        <v>11948.9</v>
      </c>
      <c r="J277" s="277">
        <v>11948.9</v>
      </c>
      <c r="K277" s="170">
        <f t="shared" si="15"/>
        <v>0</v>
      </c>
      <c r="L277" s="171">
        <f t="shared" si="16"/>
        <v>0</v>
      </c>
    </row>
    <row r="278" spans="2:37" s="163" customFormat="1" ht="39" customHeight="1" outlineLevel="1" x14ac:dyDescent="0.2">
      <c r="B278" s="46" t="s">
        <v>576</v>
      </c>
      <c r="C278" s="330">
        <v>42736</v>
      </c>
      <c r="D278" s="330">
        <v>43531</v>
      </c>
      <c r="E278" s="332">
        <v>40</v>
      </c>
      <c r="F278" s="276"/>
      <c r="G278" s="275">
        <v>9575.83</v>
      </c>
      <c r="H278" s="239"/>
      <c r="I278" s="169">
        <f t="shared" si="14"/>
        <v>9575.83</v>
      </c>
      <c r="J278" s="277">
        <v>9575.83</v>
      </c>
      <c r="K278" s="170">
        <f t="shared" si="15"/>
        <v>0</v>
      </c>
      <c r="L278" s="171">
        <f t="shared" si="16"/>
        <v>0</v>
      </c>
    </row>
    <row r="279" spans="2:37" s="163" customFormat="1" ht="54" customHeight="1" outlineLevel="1" x14ac:dyDescent="0.2">
      <c r="B279" s="46" t="s">
        <v>330</v>
      </c>
      <c r="C279" s="330">
        <v>43435</v>
      </c>
      <c r="D279" s="330">
        <v>43602</v>
      </c>
      <c r="E279" s="332">
        <v>40</v>
      </c>
      <c r="F279" s="276"/>
      <c r="G279" s="275">
        <v>9073.5499999999993</v>
      </c>
      <c r="H279" s="239"/>
      <c r="I279" s="169">
        <f t="shared" si="14"/>
        <v>9073.5499999999993</v>
      </c>
      <c r="J279" s="277">
        <v>9073.5499999999993</v>
      </c>
      <c r="K279" s="170">
        <f t="shared" si="15"/>
        <v>0</v>
      </c>
      <c r="L279" s="171">
        <f t="shared" si="16"/>
        <v>0</v>
      </c>
    </row>
    <row r="280" spans="2:37" ht="39" customHeight="1" outlineLevel="1" x14ac:dyDescent="0.2">
      <c r="B280" s="46" t="s">
        <v>244</v>
      </c>
      <c r="C280" s="330">
        <v>43344</v>
      </c>
      <c r="D280" s="330">
        <v>43614</v>
      </c>
      <c r="E280" s="332">
        <v>40</v>
      </c>
      <c r="F280" s="276">
        <v>8700</v>
      </c>
      <c r="G280" s="275"/>
      <c r="H280" s="239"/>
      <c r="I280" s="169">
        <f t="shared" si="14"/>
        <v>8700</v>
      </c>
      <c r="J280" s="277">
        <v>8700</v>
      </c>
      <c r="K280" s="170">
        <f t="shared" si="15"/>
        <v>0</v>
      </c>
      <c r="L280" s="171">
        <f t="shared" si="16"/>
        <v>0</v>
      </c>
    </row>
    <row r="281" spans="2:37" ht="37.5" customHeight="1" outlineLevel="1" x14ac:dyDescent="0.2">
      <c r="B281" s="46" t="s">
        <v>331</v>
      </c>
      <c r="C281" s="330">
        <v>43191</v>
      </c>
      <c r="D281" s="330">
        <v>43971</v>
      </c>
      <c r="E281" s="332">
        <v>40</v>
      </c>
      <c r="F281" s="276">
        <v>8600</v>
      </c>
      <c r="G281" s="275"/>
      <c r="H281" s="239"/>
      <c r="I281" s="169">
        <f t="shared" si="14"/>
        <v>8600</v>
      </c>
      <c r="J281" s="277">
        <v>8600</v>
      </c>
      <c r="K281" s="170">
        <f t="shared" si="15"/>
        <v>0</v>
      </c>
      <c r="L281" s="171">
        <f t="shared" si="16"/>
        <v>0</v>
      </c>
    </row>
    <row r="282" spans="2:37" ht="39" customHeight="1" outlineLevel="1" x14ac:dyDescent="0.2">
      <c r="B282" s="46" t="s">
        <v>577</v>
      </c>
      <c r="C282" s="330">
        <v>43191</v>
      </c>
      <c r="D282" s="330">
        <v>43937</v>
      </c>
      <c r="E282" s="332">
        <v>40</v>
      </c>
      <c r="F282" s="276"/>
      <c r="G282" s="275">
        <v>8456.9</v>
      </c>
      <c r="H282" s="239"/>
      <c r="I282" s="169">
        <f t="shared" si="14"/>
        <v>8456.9</v>
      </c>
      <c r="J282" s="277">
        <v>8456.9</v>
      </c>
      <c r="K282" s="170">
        <f t="shared" si="15"/>
        <v>0</v>
      </c>
      <c r="L282" s="171">
        <f t="shared" si="16"/>
        <v>0</v>
      </c>
    </row>
    <row r="283" spans="2:37" s="163" customFormat="1" ht="39" customHeight="1" outlineLevel="1" x14ac:dyDescent="0.2">
      <c r="B283" s="46" t="s">
        <v>578</v>
      </c>
      <c r="C283" s="330">
        <v>43435</v>
      </c>
      <c r="D283" s="330">
        <v>43537</v>
      </c>
      <c r="E283" s="332">
        <v>40</v>
      </c>
      <c r="F283" s="276"/>
      <c r="G283" s="280">
        <v>8456.9</v>
      </c>
      <c r="H283" s="239"/>
      <c r="I283" s="169">
        <f t="shared" si="14"/>
        <v>8456.9</v>
      </c>
      <c r="J283" s="277">
        <v>8456.9</v>
      </c>
      <c r="K283" s="170">
        <f t="shared" si="15"/>
        <v>0</v>
      </c>
      <c r="L283" s="171">
        <f t="shared" si="16"/>
        <v>0</v>
      </c>
    </row>
    <row r="284" spans="2:37" s="163" customFormat="1" ht="46.5" customHeight="1" outlineLevel="1" x14ac:dyDescent="0.2">
      <c r="B284" s="46" t="s">
        <v>332</v>
      </c>
      <c r="C284" s="330">
        <v>43435</v>
      </c>
      <c r="D284" s="330">
        <v>43662</v>
      </c>
      <c r="E284" s="332">
        <v>40</v>
      </c>
      <c r="F284" s="276"/>
      <c r="G284" s="280">
        <v>8206.43</v>
      </c>
      <c r="H284" s="239"/>
      <c r="I284" s="169">
        <f t="shared" si="14"/>
        <v>8206.43</v>
      </c>
      <c r="J284" s="277">
        <v>8206.43</v>
      </c>
      <c r="K284" s="170">
        <f t="shared" si="15"/>
        <v>0</v>
      </c>
      <c r="L284" s="171">
        <f t="shared" si="16"/>
        <v>0</v>
      </c>
    </row>
    <row r="285" spans="2:37" ht="39" customHeight="1" outlineLevel="1" x14ac:dyDescent="0.2">
      <c r="B285" s="46" t="s">
        <v>579</v>
      </c>
      <c r="C285" s="330">
        <v>43313</v>
      </c>
      <c r="D285" s="330">
        <v>43574</v>
      </c>
      <c r="E285" s="332">
        <v>40</v>
      </c>
      <c r="F285" s="276"/>
      <c r="G285" s="279">
        <v>7977.24</v>
      </c>
      <c r="H285" s="239"/>
      <c r="I285" s="169">
        <f t="shared" si="14"/>
        <v>7977.24</v>
      </c>
      <c r="J285" s="277">
        <v>7977.24</v>
      </c>
      <c r="K285" s="170">
        <f t="shared" si="15"/>
        <v>0</v>
      </c>
      <c r="L285" s="171">
        <f t="shared" si="16"/>
        <v>0</v>
      </c>
    </row>
    <row r="286" spans="2:37" ht="39" customHeight="1" outlineLevel="1" x14ac:dyDescent="0.2">
      <c r="B286" s="46" t="s">
        <v>580</v>
      </c>
      <c r="C286" s="330">
        <v>43435</v>
      </c>
      <c r="D286" s="330">
        <v>43654</v>
      </c>
      <c r="E286" s="332">
        <v>40</v>
      </c>
      <c r="F286" s="276"/>
      <c r="G286" s="279">
        <v>7926.1</v>
      </c>
      <c r="H286" s="239"/>
      <c r="I286" s="169">
        <f t="shared" si="14"/>
        <v>7926.1</v>
      </c>
      <c r="J286" s="277">
        <v>7926.1</v>
      </c>
      <c r="K286" s="170">
        <f t="shared" si="15"/>
        <v>0</v>
      </c>
      <c r="L286" s="171">
        <f t="shared" si="16"/>
        <v>0</v>
      </c>
    </row>
    <row r="287" spans="2:37" s="175" customFormat="1" ht="39" customHeight="1" outlineLevel="1" x14ac:dyDescent="0.2">
      <c r="B287" s="46" t="s">
        <v>581</v>
      </c>
      <c r="C287" s="330">
        <v>43435</v>
      </c>
      <c r="D287" s="330">
        <v>43683</v>
      </c>
      <c r="E287" s="332">
        <v>40</v>
      </c>
      <c r="F287" s="276"/>
      <c r="G287" s="280">
        <v>7567.87</v>
      </c>
      <c r="H287" s="239"/>
      <c r="I287" s="169">
        <f t="shared" si="14"/>
        <v>7567.87</v>
      </c>
      <c r="J287" s="277">
        <v>7567.87</v>
      </c>
      <c r="K287" s="170">
        <f t="shared" si="15"/>
        <v>0</v>
      </c>
      <c r="L287" s="171">
        <f t="shared" si="16"/>
        <v>0</v>
      </c>
      <c r="M287" s="174"/>
      <c r="N287" s="174"/>
      <c r="O287" s="174"/>
      <c r="P287" s="174"/>
      <c r="Q287" s="174"/>
      <c r="R287" s="174"/>
      <c r="S287" s="174"/>
      <c r="T287" s="174"/>
      <c r="U287" s="174"/>
      <c r="V287" s="174"/>
      <c r="W287" s="174"/>
      <c r="X287" s="174"/>
      <c r="Y287" s="174"/>
      <c r="Z287" s="174"/>
      <c r="AA287" s="174"/>
      <c r="AB287" s="174"/>
      <c r="AC287" s="174"/>
      <c r="AD287" s="174"/>
      <c r="AE287" s="174"/>
      <c r="AF287" s="174"/>
      <c r="AG287" s="174"/>
      <c r="AH287" s="174"/>
      <c r="AI287" s="174"/>
      <c r="AJ287" s="174"/>
      <c r="AK287" s="174"/>
    </row>
    <row r="288" spans="2:37" ht="39" customHeight="1" outlineLevel="1" x14ac:dyDescent="0.2">
      <c r="B288" s="46" t="s">
        <v>582</v>
      </c>
      <c r="C288" s="330">
        <v>43435</v>
      </c>
      <c r="D288" s="330">
        <v>43523</v>
      </c>
      <c r="E288" s="332">
        <v>40</v>
      </c>
      <c r="F288" s="276"/>
      <c r="G288" s="279">
        <v>7109.1</v>
      </c>
      <c r="H288" s="239"/>
      <c r="I288" s="169">
        <f t="shared" si="14"/>
        <v>7109.1</v>
      </c>
      <c r="J288" s="277">
        <v>7109.1</v>
      </c>
      <c r="K288" s="170">
        <f t="shared" si="15"/>
        <v>0</v>
      </c>
      <c r="L288" s="171">
        <f t="shared" si="16"/>
        <v>0</v>
      </c>
    </row>
    <row r="289" spans="2:37" s="175" customFormat="1" ht="55.5" customHeight="1" outlineLevel="1" x14ac:dyDescent="0.2">
      <c r="B289" s="46" t="s">
        <v>245</v>
      </c>
      <c r="C289" s="330">
        <v>43435</v>
      </c>
      <c r="D289" s="330">
        <v>43720</v>
      </c>
      <c r="E289" s="332">
        <v>40</v>
      </c>
      <c r="F289" s="278">
        <v>2800</v>
      </c>
      <c r="G289" s="276">
        <v>4267.2</v>
      </c>
      <c r="H289" s="239"/>
      <c r="I289" s="169">
        <f t="shared" si="14"/>
        <v>7067.2</v>
      </c>
      <c r="J289" s="277">
        <v>7067.2</v>
      </c>
      <c r="K289" s="170">
        <f t="shared" si="15"/>
        <v>0</v>
      </c>
      <c r="L289" s="171">
        <f t="shared" si="16"/>
        <v>0</v>
      </c>
      <c r="M289" s="174"/>
      <c r="N289" s="174"/>
      <c r="O289" s="174"/>
      <c r="P289" s="174"/>
      <c r="Q289" s="174"/>
      <c r="R289" s="174"/>
      <c r="S289" s="174"/>
      <c r="T289" s="174"/>
      <c r="U289" s="174"/>
      <c r="V289" s="174"/>
      <c r="W289" s="174"/>
      <c r="X289" s="174"/>
      <c r="Y289" s="174"/>
      <c r="Z289" s="174"/>
      <c r="AA289" s="174"/>
      <c r="AB289" s="174"/>
      <c r="AC289" s="174"/>
      <c r="AD289" s="174"/>
      <c r="AE289" s="174"/>
      <c r="AF289" s="174"/>
      <c r="AG289" s="174"/>
      <c r="AH289" s="174"/>
      <c r="AI289" s="174"/>
      <c r="AJ289" s="174"/>
      <c r="AK289" s="174"/>
    </row>
    <row r="290" spans="2:37" ht="39" customHeight="1" outlineLevel="1" x14ac:dyDescent="0.2">
      <c r="B290" s="46" t="s">
        <v>136</v>
      </c>
      <c r="C290" s="330">
        <v>43313</v>
      </c>
      <c r="D290" s="330">
        <v>43720</v>
      </c>
      <c r="E290" s="332">
        <v>10</v>
      </c>
      <c r="F290" s="276">
        <v>6800</v>
      </c>
      <c r="G290" s="275"/>
      <c r="H290" s="239"/>
      <c r="I290" s="169">
        <f t="shared" si="14"/>
        <v>6800</v>
      </c>
      <c r="J290" s="277">
        <v>6800</v>
      </c>
      <c r="K290" s="170">
        <f t="shared" si="15"/>
        <v>0</v>
      </c>
      <c r="L290" s="171">
        <f t="shared" si="16"/>
        <v>0</v>
      </c>
    </row>
    <row r="291" spans="2:37" s="163" customFormat="1" ht="39" customHeight="1" outlineLevel="1" x14ac:dyDescent="0.2">
      <c r="B291" s="46" t="s">
        <v>583</v>
      </c>
      <c r="C291" s="330">
        <v>43101</v>
      </c>
      <c r="D291" s="330">
        <v>43564</v>
      </c>
      <c r="E291" s="332">
        <v>40</v>
      </c>
      <c r="F291" s="278">
        <v>3000</v>
      </c>
      <c r="G291" s="276">
        <v>3734.42</v>
      </c>
      <c r="H291" s="239"/>
      <c r="I291" s="169">
        <f t="shared" ref="I291:I322" si="17">F291+G291</f>
        <v>6734.42</v>
      </c>
      <c r="J291" s="277">
        <v>6734.42</v>
      </c>
      <c r="K291" s="170">
        <f t="shared" ref="K291:K322" si="18">I291-J291</f>
        <v>0</v>
      </c>
      <c r="L291" s="171">
        <f t="shared" ref="L291:L322" si="19">I291-J291</f>
        <v>0</v>
      </c>
    </row>
    <row r="292" spans="2:37" s="163" customFormat="1" ht="39" customHeight="1" outlineLevel="1" x14ac:dyDescent="0.2">
      <c r="B292" s="46" t="s">
        <v>135</v>
      </c>
      <c r="C292" s="330">
        <v>43313</v>
      </c>
      <c r="D292" s="330">
        <v>43696</v>
      </c>
      <c r="E292" s="332">
        <v>10</v>
      </c>
      <c r="F292" s="276">
        <v>6700</v>
      </c>
      <c r="G292" s="275"/>
      <c r="H292" s="239"/>
      <c r="I292" s="169">
        <f t="shared" si="17"/>
        <v>6700</v>
      </c>
      <c r="J292" s="277">
        <v>6700</v>
      </c>
      <c r="K292" s="170">
        <f t="shared" si="18"/>
        <v>0</v>
      </c>
      <c r="L292" s="171">
        <f t="shared" si="19"/>
        <v>0</v>
      </c>
    </row>
    <row r="293" spans="2:37" s="175" customFormat="1" ht="39" customHeight="1" outlineLevel="1" x14ac:dyDescent="0.2">
      <c r="B293" s="46" t="s">
        <v>584</v>
      </c>
      <c r="C293" s="330">
        <v>43101</v>
      </c>
      <c r="D293" s="330">
        <v>43475</v>
      </c>
      <c r="E293" s="332">
        <v>40</v>
      </c>
      <c r="F293" s="276"/>
      <c r="G293" s="279">
        <v>6661.77</v>
      </c>
      <c r="H293" s="239"/>
      <c r="I293" s="169">
        <f t="shared" si="17"/>
        <v>6661.77</v>
      </c>
      <c r="J293" s="277">
        <v>6661.77</v>
      </c>
      <c r="K293" s="170">
        <f t="shared" si="18"/>
        <v>0</v>
      </c>
      <c r="L293" s="171">
        <f t="shared" si="19"/>
        <v>0</v>
      </c>
      <c r="M293" s="174"/>
      <c r="N293" s="174"/>
      <c r="O293" s="174"/>
      <c r="P293" s="174"/>
      <c r="Q293" s="174"/>
      <c r="R293" s="174"/>
      <c r="S293" s="174"/>
      <c r="T293" s="174"/>
      <c r="U293" s="174"/>
      <c r="V293" s="174"/>
      <c r="W293" s="174"/>
      <c r="X293" s="174"/>
      <c r="Y293" s="174"/>
      <c r="Z293" s="174"/>
      <c r="AA293" s="174"/>
      <c r="AB293" s="174"/>
      <c r="AC293" s="174"/>
      <c r="AD293" s="174"/>
      <c r="AE293" s="174"/>
      <c r="AF293" s="174"/>
      <c r="AG293" s="174"/>
      <c r="AH293" s="174"/>
      <c r="AI293" s="174"/>
      <c r="AJ293" s="174"/>
      <c r="AK293" s="174"/>
    </row>
    <row r="294" spans="2:37" s="163" customFormat="1" ht="39" customHeight="1" outlineLevel="1" x14ac:dyDescent="0.2">
      <c r="B294" s="46" t="s">
        <v>248</v>
      </c>
      <c r="C294" s="330">
        <v>43435</v>
      </c>
      <c r="D294" s="330">
        <v>43615</v>
      </c>
      <c r="E294" s="332">
        <v>40</v>
      </c>
      <c r="F294" s="278"/>
      <c r="G294" s="280">
        <v>6650.72</v>
      </c>
      <c r="H294" s="239"/>
      <c r="I294" s="169">
        <f t="shared" si="17"/>
        <v>6650.72</v>
      </c>
      <c r="J294" s="277">
        <v>6650.72</v>
      </c>
      <c r="K294" s="170">
        <f t="shared" si="18"/>
        <v>0</v>
      </c>
      <c r="L294" s="171">
        <f t="shared" si="19"/>
        <v>0</v>
      </c>
    </row>
    <row r="295" spans="2:37" s="163" customFormat="1" ht="46.5" customHeight="1" outlineLevel="1" x14ac:dyDescent="0.2">
      <c r="B295" s="46" t="s">
        <v>243</v>
      </c>
      <c r="C295" s="330">
        <v>43221</v>
      </c>
      <c r="D295" s="330">
        <v>43615</v>
      </c>
      <c r="E295" s="332">
        <v>10</v>
      </c>
      <c r="F295" s="278">
        <v>6500</v>
      </c>
      <c r="G295" s="276"/>
      <c r="H295" s="239"/>
      <c r="I295" s="169">
        <f t="shared" si="17"/>
        <v>6500</v>
      </c>
      <c r="J295" s="277">
        <v>6500</v>
      </c>
      <c r="K295" s="170">
        <f t="shared" si="18"/>
        <v>0</v>
      </c>
      <c r="L295" s="171">
        <f t="shared" si="19"/>
        <v>0</v>
      </c>
    </row>
    <row r="296" spans="2:37" ht="39" customHeight="1" outlineLevel="1" x14ac:dyDescent="0.2">
      <c r="B296" s="46" t="s">
        <v>585</v>
      </c>
      <c r="C296" s="330">
        <v>43009</v>
      </c>
      <c r="D296" s="330">
        <v>43517</v>
      </c>
      <c r="E296" s="332">
        <v>40</v>
      </c>
      <c r="F296" s="276"/>
      <c r="G296" s="279">
        <v>6450.81</v>
      </c>
      <c r="H296" s="239"/>
      <c r="I296" s="169">
        <f t="shared" si="17"/>
        <v>6450.81</v>
      </c>
      <c r="J296" s="277">
        <v>6450.81</v>
      </c>
      <c r="K296" s="170">
        <f t="shared" si="18"/>
        <v>0</v>
      </c>
      <c r="L296" s="171">
        <f t="shared" si="19"/>
        <v>0</v>
      </c>
    </row>
    <row r="297" spans="2:37" s="163" customFormat="1" ht="39" customHeight="1" outlineLevel="1" x14ac:dyDescent="0.2">
      <c r="B297" s="46" t="s">
        <v>333</v>
      </c>
      <c r="C297" s="330">
        <v>43435</v>
      </c>
      <c r="D297" s="330">
        <v>43538</v>
      </c>
      <c r="E297" s="332">
        <v>40</v>
      </c>
      <c r="F297" s="276">
        <v>2700</v>
      </c>
      <c r="G297" s="275">
        <v>3642.24</v>
      </c>
      <c r="H297" s="239"/>
      <c r="I297" s="169">
        <f t="shared" si="17"/>
        <v>6342.24</v>
      </c>
      <c r="J297" s="277">
        <v>6342.24</v>
      </c>
      <c r="K297" s="170">
        <f t="shared" si="18"/>
        <v>0</v>
      </c>
      <c r="L297" s="171">
        <f t="shared" si="19"/>
        <v>0</v>
      </c>
    </row>
    <row r="298" spans="2:37" s="163" customFormat="1" ht="39" customHeight="1" outlineLevel="1" x14ac:dyDescent="0.2">
      <c r="B298" s="46" t="s">
        <v>586</v>
      </c>
      <c r="C298" s="330">
        <v>43313</v>
      </c>
      <c r="D298" s="330">
        <v>43677</v>
      </c>
      <c r="E298" s="332">
        <v>40</v>
      </c>
      <c r="F298" s="278"/>
      <c r="G298" s="279">
        <v>6003.94</v>
      </c>
      <c r="H298" s="239"/>
      <c r="I298" s="169">
        <f t="shared" si="17"/>
        <v>6003.94</v>
      </c>
      <c r="J298" s="277">
        <v>6003.94</v>
      </c>
      <c r="K298" s="170">
        <f t="shared" si="18"/>
        <v>0</v>
      </c>
      <c r="L298" s="171">
        <f t="shared" si="19"/>
        <v>0</v>
      </c>
    </row>
    <row r="299" spans="2:37" s="163" customFormat="1" ht="39" customHeight="1" outlineLevel="1" x14ac:dyDescent="0.2">
      <c r="B299" s="46" t="s">
        <v>587</v>
      </c>
      <c r="C299" s="330">
        <v>43191</v>
      </c>
      <c r="D299" s="330">
        <v>43642</v>
      </c>
      <c r="E299" s="332">
        <v>10</v>
      </c>
      <c r="F299" s="276"/>
      <c r="G299" s="279">
        <v>6003.93</v>
      </c>
      <c r="H299" s="239"/>
      <c r="I299" s="169">
        <f t="shared" si="17"/>
        <v>6003.93</v>
      </c>
      <c r="J299" s="277">
        <v>6003.93</v>
      </c>
      <c r="K299" s="170">
        <f t="shared" si="18"/>
        <v>0</v>
      </c>
      <c r="L299" s="171">
        <f t="shared" si="19"/>
        <v>0</v>
      </c>
    </row>
    <row r="300" spans="2:37" s="175" customFormat="1" ht="39" customHeight="1" outlineLevel="1" x14ac:dyDescent="0.2">
      <c r="B300" s="46" t="s">
        <v>242</v>
      </c>
      <c r="C300" s="330">
        <v>43435</v>
      </c>
      <c r="D300" s="330">
        <v>43616</v>
      </c>
      <c r="E300" s="332">
        <v>40</v>
      </c>
      <c r="F300" s="276">
        <v>6000</v>
      </c>
      <c r="G300" s="280"/>
      <c r="H300" s="239"/>
      <c r="I300" s="169">
        <f t="shared" si="17"/>
        <v>6000</v>
      </c>
      <c r="J300" s="277">
        <v>6000</v>
      </c>
      <c r="K300" s="170">
        <f t="shared" si="18"/>
        <v>0</v>
      </c>
      <c r="L300" s="171">
        <f t="shared" si="19"/>
        <v>0</v>
      </c>
      <c r="M300" s="174"/>
      <c r="N300" s="174"/>
      <c r="O300" s="174"/>
      <c r="P300" s="174"/>
      <c r="Q300" s="174"/>
      <c r="R300" s="174"/>
      <c r="S300" s="174"/>
      <c r="T300" s="174"/>
      <c r="U300" s="174"/>
      <c r="V300" s="174"/>
      <c r="W300" s="174"/>
      <c r="X300" s="174"/>
      <c r="Y300" s="174"/>
      <c r="Z300" s="174"/>
      <c r="AA300" s="174"/>
      <c r="AB300" s="174"/>
      <c r="AC300" s="174"/>
      <c r="AD300" s="174"/>
      <c r="AE300" s="174"/>
      <c r="AF300" s="174"/>
      <c r="AG300" s="174"/>
      <c r="AH300" s="174"/>
      <c r="AI300" s="174"/>
      <c r="AJ300" s="174"/>
      <c r="AK300" s="174"/>
    </row>
    <row r="301" spans="2:37" ht="39" customHeight="1" outlineLevel="1" x14ac:dyDescent="0.2">
      <c r="B301" s="46" t="s">
        <v>247</v>
      </c>
      <c r="C301" s="330">
        <v>43191</v>
      </c>
      <c r="D301" s="330">
        <v>43595</v>
      </c>
      <c r="E301" s="332">
        <v>40</v>
      </c>
      <c r="F301" s="276"/>
      <c r="G301" s="280">
        <v>5928.05</v>
      </c>
      <c r="H301" s="239"/>
      <c r="I301" s="169">
        <f t="shared" si="17"/>
        <v>5928.05</v>
      </c>
      <c r="J301" s="277">
        <v>5928.05</v>
      </c>
      <c r="K301" s="170">
        <f t="shared" si="18"/>
        <v>0</v>
      </c>
      <c r="L301" s="171">
        <f t="shared" si="19"/>
        <v>0</v>
      </c>
    </row>
    <row r="302" spans="2:37" ht="39" customHeight="1" outlineLevel="1" x14ac:dyDescent="0.2">
      <c r="B302" s="46" t="s">
        <v>588</v>
      </c>
      <c r="C302" s="330">
        <v>43191</v>
      </c>
      <c r="D302" s="330">
        <v>43664</v>
      </c>
      <c r="E302" s="332">
        <v>40</v>
      </c>
      <c r="F302" s="276"/>
      <c r="G302" s="279">
        <v>5898.13</v>
      </c>
      <c r="H302" s="239"/>
      <c r="I302" s="169">
        <f t="shared" si="17"/>
        <v>5898.13</v>
      </c>
      <c r="J302" s="277">
        <v>5898.13</v>
      </c>
      <c r="K302" s="170">
        <f t="shared" si="18"/>
        <v>0</v>
      </c>
      <c r="L302" s="171">
        <f t="shared" si="19"/>
        <v>0</v>
      </c>
    </row>
    <row r="303" spans="2:37" s="163" customFormat="1" ht="39" customHeight="1" outlineLevel="1" x14ac:dyDescent="0.2">
      <c r="B303" s="46" t="s">
        <v>589</v>
      </c>
      <c r="C303" s="330">
        <v>43435</v>
      </c>
      <c r="D303" s="330">
        <v>43621</v>
      </c>
      <c r="E303" s="332">
        <v>40</v>
      </c>
      <c r="F303" s="276"/>
      <c r="G303" s="279">
        <v>5486.71</v>
      </c>
      <c r="H303" s="239"/>
      <c r="I303" s="169">
        <f t="shared" si="17"/>
        <v>5486.71</v>
      </c>
      <c r="J303" s="277">
        <v>5486.71</v>
      </c>
      <c r="K303" s="170">
        <f t="shared" si="18"/>
        <v>0</v>
      </c>
      <c r="L303" s="171">
        <f t="shared" si="19"/>
        <v>0</v>
      </c>
    </row>
    <row r="304" spans="2:37" s="163" customFormat="1" ht="39" customHeight="1" outlineLevel="1" x14ac:dyDescent="0.2">
      <c r="B304" s="46" t="s">
        <v>109</v>
      </c>
      <c r="C304" s="330">
        <v>43435</v>
      </c>
      <c r="D304" s="330">
        <v>43497</v>
      </c>
      <c r="E304" s="332">
        <v>40</v>
      </c>
      <c r="F304" s="276"/>
      <c r="G304" s="280">
        <v>5329.15</v>
      </c>
      <c r="H304" s="239"/>
      <c r="I304" s="169">
        <f t="shared" si="17"/>
        <v>5329.15</v>
      </c>
      <c r="J304" s="277">
        <v>5329.15</v>
      </c>
      <c r="K304" s="170">
        <f t="shared" si="18"/>
        <v>0</v>
      </c>
      <c r="L304" s="171">
        <f t="shared" si="19"/>
        <v>0</v>
      </c>
    </row>
    <row r="305" spans="2:40" ht="39" customHeight="1" outlineLevel="1" x14ac:dyDescent="0.2">
      <c r="B305" s="46" t="s">
        <v>110</v>
      </c>
      <c r="C305" s="330">
        <v>43009</v>
      </c>
      <c r="D305" s="333">
        <v>43497</v>
      </c>
      <c r="E305" s="332">
        <v>100</v>
      </c>
      <c r="F305" s="276"/>
      <c r="G305" s="280">
        <v>5329.15</v>
      </c>
      <c r="H305" s="239"/>
      <c r="I305" s="169">
        <f t="shared" si="17"/>
        <v>5329.15</v>
      </c>
      <c r="J305" s="277">
        <v>5329.15</v>
      </c>
      <c r="K305" s="170">
        <f t="shared" si="18"/>
        <v>0</v>
      </c>
      <c r="L305" s="171">
        <f t="shared" si="19"/>
        <v>0</v>
      </c>
    </row>
    <row r="306" spans="2:40" ht="52.5" customHeight="1" outlineLevel="1" x14ac:dyDescent="0.2">
      <c r="B306" s="46" t="s">
        <v>108</v>
      </c>
      <c r="C306" s="330">
        <v>43009</v>
      </c>
      <c r="D306" s="330">
        <v>43607</v>
      </c>
      <c r="E306" s="332">
        <v>100</v>
      </c>
      <c r="F306" s="276"/>
      <c r="G306" s="281">
        <v>5229.2</v>
      </c>
      <c r="H306" s="239"/>
      <c r="I306" s="169">
        <f t="shared" si="17"/>
        <v>5229.2</v>
      </c>
      <c r="J306" s="277">
        <v>5229.2</v>
      </c>
      <c r="K306" s="170">
        <f t="shared" si="18"/>
        <v>0</v>
      </c>
      <c r="L306" s="171">
        <f t="shared" si="19"/>
        <v>0</v>
      </c>
    </row>
    <row r="307" spans="2:40" s="173" customFormat="1" ht="48.75" customHeight="1" outlineLevel="1" x14ac:dyDescent="0.2">
      <c r="B307" s="46" t="s">
        <v>590</v>
      </c>
      <c r="C307" s="330">
        <v>43009</v>
      </c>
      <c r="D307" s="330">
        <v>43713</v>
      </c>
      <c r="E307" s="332">
        <v>40</v>
      </c>
      <c r="F307" s="276"/>
      <c r="G307" s="279">
        <v>4600.9799999999996</v>
      </c>
      <c r="H307" s="239"/>
      <c r="I307" s="169">
        <f t="shared" si="17"/>
        <v>4600.9799999999996</v>
      </c>
      <c r="J307" s="277">
        <v>4600.9799999999996</v>
      </c>
      <c r="K307" s="170">
        <f t="shared" si="18"/>
        <v>0</v>
      </c>
      <c r="L307" s="171">
        <f t="shared" si="19"/>
        <v>0</v>
      </c>
      <c r="M307" s="172"/>
      <c r="N307" s="172"/>
      <c r="O307" s="172"/>
      <c r="P307" s="172"/>
      <c r="Q307" s="172"/>
      <c r="R307" s="172"/>
      <c r="S307" s="172"/>
      <c r="T307" s="172"/>
      <c r="U307" s="172"/>
      <c r="V307" s="172"/>
      <c r="W307" s="172"/>
      <c r="X307" s="172"/>
      <c r="Y307" s="172"/>
      <c r="Z307" s="172"/>
      <c r="AA307" s="172"/>
      <c r="AB307" s="172"/>
      <c r="AC307" s="172"/>
      <c r="AD307" s="172"/>
      <c r="AE307" s="172"/>
      <c r="AF307" s="172"/>
      <c r="AG307" s="172"/>
      <c r="AH307" s="172"/>
      <c r="AI307" s="172"/>
      <c r="AJ307" s="172"/>
      <c r="AK307" s="172"/>
    </row>
    <row r="308" spans="2:40" s="72" customFormat="1" ht="39" customHeight="1" outlineLevel="1" x14ac:dyDescent="0.2">
      <c r="B308" s="46" t="s">
        <v>334</v>
      </c>
      <c r="C308" s="330">
        <v>43435</v>
      </c>
      <c r="D308" s="330">
        <v>43558</v>
      </c>
      <c r="E308" s="332">
        <v>40</v>
      </c>
      <c r="F308" s="276">
        <v>4600</v>
      </c>
      <c r="G308" s="275"/>
      <c r="H308" s="239"/>
      <c r="I308" s="169">
        <f t="shared" si="17"/>
        <v>4600</v>
      </c>
      <c r="J308" s="277">
        <v>4600</v>
      </c>
      <c r="K308" s="170">
        <f t="shared" si="18"/>
        <v>0</v>
      </c>
      <c r="L308" s="171">
        <f t="shared" si="19"/>
        <v>0</v>
      </c>
      <c r="M308" s="161"/>
      <c r="N308" s="161"/>
      <c r="O308" s="161"/>
      <c r="P308" s="162"/>
      <c r="Q308" s="162"/>
      <c r="R308" s="162"/>
      <c r="S308" s="162"/>
      <c r="T308" s="162"/>
      <c r="U308" s="162"/>
      <c r="V308" s="162"/>
      <c r="W308" s="162"/>
      <c r="X308" s="162"/>
      <c r="Y308" s="162"/>
      <c r="Z308" s="162"/>
      <c r="AA308" s="162"/>
      <c r="AB308" s="162"/>
      <c r="AC308" s="162"/>
      <c r="AD308" s="162"/>
      <c r="AE308" s="162"/>
      <c r="AF308" s="162"/>
      <c r="AG308" s="162"/>
      <c r="AH308" s="162"/>
      <c r="AI308" s="162"/>
      <c r="AJ308" s="162"/>
      <c r="AK308" s="162"/>
      <c r="AL308" s="162"/>
      <c r="AM308" s="162"/>
      <c r="AN308" s="162"/>
    </row>
    <row r="309" spans="2:40" ht="39" customHeight="1" outlineLevel="1" x14ac:dyDescent="0.2">
      <c r="B309" s="46" t="s">
        <v>335</v>
      </c>
      <c r="C309" s="330">
        <v>43313</v>
      </c>
      <c r="D309" s="330">
        <v>43545</v>
      </c>
      <c r="E309" s="332">
        <v>40</v>
      </c>
      <c r="F309" s="276"/>
      <c r="G309" s="280">
        <v>4559.8900000000003</v>
      </c>
      <c r="H309" s="239"/>
      <c r="I309" s="169">
        <f t="shared" si="17"/>
        <v>4559.8900000000003</v>
      </c>
      <c r="J309" s="277">
        <v>4559.8900000000003</v>
      </c>
      <c r="K309" s="170">
        <f t="shared" si="18"/>
        <v>0</v>
      </c>
      <c r="L309" s="171">
        <f t="shared" si="19"/>
        <v>0</v>
      </c>
    </row>
    <row r="310" spans="2:40" s="72" customFormat="1" ht="39" customHeight="1" outlineLevel="1" x14ac:dyDescent="0.2">
      <c r="B310" s="46" t="s">
        <v>591</v>
      </c>
      <c r="C310" s="330">
        <v>43282</v>
      </c>
      <c r="D310" s="330">
        <v>43689</v>
      </c>
      <c r="E310" s="332">
        <v>40</v>
      </c>
      <c r="F310" s="276"/>
      <c r="G310" s="279">
        <v>4539.13</v>
      </c>
      <c r="H310" s="239"/>
      <c r="I310" s="169">
        <f t="shared" si="17"/>
        <v>4539.13</v>
      </c>
      <c r="J310" s="277">
        <v>4539.13</v>
      </c>
      <c r="K310" s="170">
        <f t="shared" si="18"/>
        <v>0</v>
      </c>
      <c r="L310" s="171">
        <f t="shared" si="19"/>
        <v>0</v>
      </c>
      <c r="M310" s="161"/>
      <c r="N310" s="161"/>
      <c r="O310" s="161"/>
      <c r="P310" s="162"/>
      <c r="Q310" s="162"/>
      <c r="R310" s="162"/>
      <c r="S310" s="162"/>
      <c r="T310" s="162"/>
      <c r="U310" s="162"/>
      <c r="V310" s="162"/>
      <c r="W310" s="162"/>
      <c r="X310" s="162"/>
      <c r="Y310" s="162"/>
      <c r="Z310" s="162"/>
      <c r="AA310" s="162"/>
      <c r="AB310" s="162"/>
      <c r="AC310" s="162"/>
      <c r="AD310" s="162"/>
      <c r="AE310" s="162"/>
      <c r="AF310" s="162"/>
      <c r="AG310" s="162"/>
      <c r="AH310" s="162"/>
      <c r="AI310" s="162"/>
      <c r="AJ310" s="162"/>
      <c r="AK310" s="162"/>
      <c r="AL310" s="162"/>
      <c r="AM310" s="162"/>
      <c r="AN310" s="162"/>
    </row>
    <row r="311" spans="2:40" s="72" customFormat="1" ht="39" customHeight="1" outlineLevel="1" x14ac:dyDescent="0.2">
      <c r="B311" s="46" t="s">
        <v>111</v>
      </c>
      <c r="C311" s="330">
        <v>43435</v>
      </c>
      <c r="D311" s="330">
        <v>43497</v>
      </c>
      <c r="E311" s="332">
        <v>40</v>
      </c>
      <c r="F311" s="276"/>
      <c r="G311" s="280">
        <v>4338.32</v>
      </c>
      <c r="H311" s="239"/>
      <c r="I311" s="169">
        <f t="shared" si="17"/>
        <v>4338.32</v>
      </c>
      <c r="J311" s="277">
        <v>4338.32</v>
      </c>
      <c r="K311" s="170">
        <f t="shared" si="18"/>
        <v>0</v>
      </c>
      <c r="L311" s="171">
        <f t="shared" si="19"/>
        <v>0</v>
      </c>
      <c r="M311" s="161"/>
      <c r="N311" s="161"/>
      <c r="O311" s="161"/>
      <c r="P311" s="162"/>
      <c r="Q311" s="162"/>
      <c r="R311" s="162"/>
      <c r="S311" s="162"/>
      <c r="T311" s="162"/>
      <c r="U311" s="162"/>
      <c r="V311" s="162"/>
      <c r="W311" s="162"/>
      <c r="X311" s="162"/>
      <c r="Y311" s="162"/>
      <c r="Z311" s="162"/>
      <c r="AA311" s="162"/>
      <c r="AB311" s="162"/>
      <c r="AC311" s="162"/>
      <c r="AD311" s="162"/>
      <c r="AE311" s="162"/>
      <c r="AF311" s="162"/>
      <c r="AG311" s="162"/>
      <c r="AH311" s="162"/>
      <c r="AI311" s="162"/>
      <c r="AJ311" s="162"/>
      <c r="AK311" s="162"/>
      <c r="AL311" s="162"/>
      <c r="AM311" s="162"/>
      <c r="AN311" s="162"/>
    </row>
    <row r="312" spans="2:40" s="72" customFormat="1" ht="39" customHeight="1" outlineLevel="1" x14ac:dyDescent="0.2">
      <c r="B312" s="46" t="s">
        <v>592</v>
      </c>
      <c r="C312" s="330">
        <v>43435</v>
      </c>
      <c r="D312" s="330">
        <v>43675</v>
      </c>
      <c r="E312" s="332">
        <v>40</v>
      </c>
      <c r="F312" s="276"/>
      <c r="G312" s="280">
        <v>4148.7700000000004</v>
      </c>
      <c r="H312" s="239"/>
      <c r="I312" s="169">
        <f t="shared" si="17"/>
        <v>4148.7700000000004</v>
      </c>
      <c r="J312" s="277">
        <v>4148.7700000000004</v>
      </c>
      <c r="K312" s="170">
        <f t="shared" si="18"/>
        <v>0</v>
      </c>
      <c r="L312" s="171">
        <f t="shared" si="19"/>
        <v>0</v>
      </c>
      <c r="M312" s="161"/>
      <c r="N312" s="161"/>
      <c r="O312" s="161"/>
      <c r="P312" s="162"/>
      <c r="Q312" s="162"/>
      <c r="R312" s="162"/>
      <c r="S312" s="162"/>
      <c r="T312" s="162"/>
      <c r="U312" s="162"/>
      <c r="V312" s="162"/>
      <c r="W312" s="162"/>
      <c r="X312" s="162"/>
      <c r="Y312" s="162"/>
      <c r="Z312" s="162"/>
      <c r="AA312" s="162"/>
      <c r="AB312" s="162"/>
      <c r="AC312" s="162"/>
      <c r="AD312" s="162"/>
      <c r="AE312" s="162"/>
      <c r="AF312" s="162"/>
      <c r="AG312" s="162"/>
      <c r="AH312" s="162"/>
      <c r="AI312" s="162"/>
      <c r="AJ312" s="162"/>
      <c r="AK312" s="162"/>
      <c r="AL312" s="162"/>
      <c r="AM312" s="162"/>
      <c r="AN312" s="162"/>
    </row>
    <row r="313" spans="2:40" s="72" customFormat="1" ht="39" customHeight="1" outlineLevel="1" x14ac:dyDescent="0.2">
      <c r="B313" s="46" t="s">
        <v>593</v>
      </c>
      <c r="C313" s="330">
        <v>43252</v>
      </c>
      <c r="D313" s="330">
        <v>43648</v>
      </c>
      <c r="E313" s="332">
        <v>10</v>
      </c>
      <c r="F313" s="276"/>
      <c r="G313" s="279">
        <v>3736.51</v>
      </c>
      <c r="H313" s="239"/>
      <c r="I313" s="169">
        <f t="shared" si="17"/>
        <v>3736.51</v>
      </c>
      <c r="J313" s="277">
        <v>3736.51</v>
      </c>
      <c r="K313" s="170">
        <f t="shared" si="18"/>
        <v>0</v>
      </c>
      <c r="L313" s="171">
        <f t="shared" si="19"/>
        <v>0</v>
      </c>
      <c r="M313" s="161"/>
      <c r="N313" s="161"/>
      <c r="O313" s="161"/>
      <c r="P313" s="162"/>
      <c r="Q313" s="162"/>
      <c r="R313" s="162"/>
      <c r="S313" s="162"/>
      <c r="T313" s="162"/>
      <c r="U313" s="162"/>
      <c r="V313" s="162"/>
      <c r="W313" s="162"/>
      <c r="X313" s="162"/>
      <c r="Y313" s="162"/>
      <c r="Z313" s="162"/>
      <c r="AA313" s="162"/>
      <c r="AB313" s="162"/>
      <c r="AC313" s="162"/>
      <c r="AD313" s="162"/>
      <c r="AE313" s="162"/>
      <c r="AF313" s="162"/>
      <c r="AG313" s="162"/>
      <c r="AH313" s="162"/>
      <c r="AI313" s="162"/>
      <c r="AJ313" s="162"/>
      <c r="AK313" s="162"/>
      <c r="AL313" s="162"/>
      <c r="AM313" s="162"/>
      <c r="AN313" s="162"/>
    </row>
    <row r="314" spans="2:40" s="72" customFormat="1" ht="39" customHeight="1" outlineLevel="1" x14ac:dyDescent="0.2">
      <c r="B314" s="46" t="s">
        <v>594</v>
      </c>
      <c r="C314" s="330">
        <v>43435</v>
      </c>
      <c r="D314" s="330">
        <v>43698</v>
      </c>
      <c r="E314" s="332">
        <v>40</v>
      </c>
      <c r="F314" s="276"/>
      <c r="G314" s="279">
        <v>3668.87</v>
      </c>
      <c r="H314" s="239"/>
      <c r="I314" s="169">
        <f t="shared" si="17"/>
        <v>3668.87</v>
      </c>
      <c r="J314" s="277">
        <v>3668.87</v>
      </c>
      <c r="K314" s="170">
        <f t="shared" si="18"/>
        <v>0</v>
      </c>
      <c r="L314" s="171">
        <f t="shared" si="19"/>
        <v>0</v>
      </c>
      <c r="M314" s="161"/>
      <c r="N314" s="161"/>
      <c r="O314" s="161"/>
      <c r="P314" s="162"/>
      <c r="Q314" s="162"/>
      <c r="R314" s="162"/>
      <c r="S314" s="162"/>
      <c r="T314" s="162"/>
      <c r="U314" s="162"/>
      <c r="V314" s="162"/>
      <c r="W314" s="162"/>
      <c r="X314" s="162"/>
      <c r="Y314" s="162"/>
      <c r="Z314" s="162"/>
      <c r="AA314" s="162"/>
      <c r="AB314" s="162"/>
      <c r="AC314" s="162"/>
      <c r="AD314" s="162"/>
      <c r="AE314" s="162"/>
      <c r="AF314" s="162"/>
      <c r="AG314" s="162"/>
      <c r="AH314" s="162"/>
      <c r="AI314" s="162"/>
      <c r="AJ314" s="162"/>
      <c r="AK314" s="162"/>
      <c r="AL314" s="162"/>
      <c r="AM314" s="162"/>
      <c r="AN314" s="162"/>
    </row>
    <row r="315" spans="2:40" s="72" customFormat="1" ht="39" customHeight="1" outlineLevel="1" x14ac:dyDescent="0.2">
      <c r="B315" s="46" t="s">
        <v>595</v>
      </c>
      <c r="C315" s="330">
        <v>43435</v>
      </c>
      <c r="D315" s="330">
        <v>43651</v>
      </c>
      <c r="E315" s="332">
        <v>40</v>
      </c>
      <c r="F315" s="276"/>
      <c r="G315" s="279">
        <v>3637.94</v>
      </c>
      <c r="H315" s="239"/>
      <c r="I315" s="169">
        <f t="shared" si="17"/>
        <v>3637.94</v>
      </c>
      <c r="J315" s="277">
        <v>3637.94</v>
      </c>
      <c r="K315" s="170">
        <f t="shared" si="18"/>
        <v>0</v>
      </c>
      <c r="L315" s="171">
        <f t="shared" si="19"/>
        <v>0</v>
      </c>
      <c r="M315" s="161"/>
      <c r="N315" s="161"/>
      <c r="O315" s="161"/>
      <c r="P315" s="162"/>
      <c r="Q315" s="162"/>
      <c r="R315" s="162"/>
      <c r="S315" s="162"/>
      <c r="T315" s="162"/>
      <c r="U315" s="162"/>
      <c r="V315" s="162"/>
      <c r="W315" s="162"/>
      <c r="X315" s="162"/>
      <c r="Y315" s="162"/>
      <c r="Z315" s="162"/>
      <c r="AA315" s="162"/>
      <c r="AB315" s="162"/>
      <c r="AC315" s="162"/>
      <c r="AD315" s="162"/>
      <c r="AE315" s="162"/>
      <c r="AF315" s="162"/>
      <c r="AG315" s="162"/>
      <c r="AH315" s="162"/>
      <c r="AI315" s="162"/>
      <c r="AJ315" s="162"/>
      <c r="AK315" s="162"/>
      <c r="AL315" s="162"/>
      <c r="AM315" s="162"/>
      <c r="AN315" s="162"/>
    </row>
    <row r="316" spans="2:40" ht="39" customHeight="1" outlineLevel="1" x14ac:dyDescent="0.2">
      <c r="B316" s="46" t="s">
        <v>596</v>
      </c>
      <c r="C316" s="330">
        <v>43435</v>
      </c>
      <c r="D316" s="330">
        <v>43658</v>
      </c>
      <c r="E316" s="332">
        <v>40</v>
      </c>
      <c r="F316" s="276"/>
      <c r="G316" s="281">
        <v>3618.11</v>
      </c>
      <c r="H316" s="239"/>
      <c r="I316" s="169">
        <f t="shared" si="17"/>
        <v>3618.11</v>
      </c>
      <c r="J316" s="277">
        <v>3618.11</v>
      </c>
      <c r="K316" s="170">
        <f t="shared" si="18"/>
        <v>0</v>
      </c>
      <c r="L316" s="171">
        <f t="shared" si="19"/>
        <v>0</v>
      </c>
    </row>
    <row r="317" spans="2:40" s="72" customFormat="1" ht="39" customHeight="1" outlineLevel="1" x14ac:dyDescent="0.2">
      <c r="B317" s="46" t="s">
        <v>336</v>
      </c>
      <c r="C317" s="330">
        <v>43374</v>
      </c>
      <c r="D317" s="330">
        <v>43512</v>
      </c>
      <c r="E317" s="332">
        <v>40</v>
      </c>
      <c r="F317" s="278">
        <v>3100</v>
      </c>
      <c r="G317" s="276"/>
      <c r="H317" s="239"/>
      <c r="I317" s="169">
        <f t="shared" si="17"/>
        <v>3100</v>
      </c>
      <c r="J317" s="277">
        <v>3100</v>
      </c>
      <c r="K317" s="170">
        <f t="shared" si="18"/>
        <v>0</v>
      </c>
      <c r="L317" s="171">
        <f t="shared" si="19"/>
        <v>0</v>
      </c>
      <c r="M317" s="161"/>
      <c r="N317" s="161"/>
      <c r="O317" s="161"/>
      <c r="P317" s="162"/>
      <c r="Q317" s="162"/>
      <c r="R317" s="162"/>
      <c r="S317" s="162"/>
      <c r="T317" s="162"/>
      <c r="U317" s="162"/>
      <c r="V317" s="162"/>
      <c r="W317" s="162"/>
      <c r="X317" s="162"/>
      <c r="Y317" s="162"/>
      <c r="Z317" s="162"/>
      <c r="AA317" s="162"/>
      <c r="AB317" s="162"/>
      <c r="AC317" s="162"/>
      <c r="AD317" s="162"/>
      <c r="AE317" s="162"/>
      <c r="AF317" s="162"/>
      <c r="AG317" s="162"/>
      <c r="AH317" s="162"/>
      <c r="AI317" s="162"/>
      <c r="AJ317" s="162"/>
      <c r="AK317" s="162"/>
      <c r="AL317" s="162"/>
      <c r="AM317" s="162"/>
      <c r="AN317" s="162"/>
    </row>
    <row r="318" spans="2:40" s="163" customFormat="1" ht="39" customHeight="1" outlineLevel="1" x14ac:dyDescent="0.2">
      <c r="B318" s="46" t="s">
        <v>338</v>
      </c>
      <c r="C318" s="330">
        <v>43313</v>
      </c>
      <c r="D318" s="330">
        <v>43557</v>
      </c>
      <c r="E318" s="332">
        <v>10</v>
      </c>
      <c r="F318" s="278">
        <v>2700</v>
      </c>
      <c r="G318" s="276"/>
      <c r="H318" s="239"/>
      <c r="I318" s="169">
        <f t="shared" si="17"/>
        <v>2700</v>
      </c>
      <c r="J318" s="277">
        <v>2700</v>
      </c>
      <c r="K318" s="170">
        <f t="shared" si="18"/>
        <v>0</v>
      </c>
      <c r="L318" s="171">
        <f t="shared" si="19"/>
        <v>0</v>
      </c>
    </row>
    <row r="319" spans="2:40" s="72" customFormat="1" ht="39" customHeight="1" outlineLevel="1" x14ac:dyDescent="0.2">
      <c r="B319" s="46" t="s">
        <v>597</v>
      </c>
      <c r="C319" s="330">
        <v>43313</v>
      </c>
      <c r="D319" s="330">
        <v>43617</v>
      </c>
      <c r="E319" s="332">
        <v>10</v>
      </c>
      <c r="F319" s="276"/>
      <c r="G319" s="280">
        <v>2549.79</v>
      </c>
      <c r="H319" s="275"/>
      <c r="I319" s="169">
        <f t="shared" si="17"/>
        <v>2549.79</v>
      </c>
      <c r="J319" s="277">
        <v>2549.79</v>
      </c>
      <c r="K319" s="170">
        <f t="shared" si="18"/>
        <v>0</v>
      </c>
      <c r="L319" s="171">
        <f t="shared" si="19"/>
        <v>0</v>
      </c>
      <c r="M319" s="161"/>
      <c r="N319" s="161"/>
      <c r="O319" s="161"/>
      <c r="P319" s="162"/>
      <c r="Q319" s="162"/>
      <c r="R319" s="162"/>
      <c r="S319" s="162"/>
      <c r="T319" s="162"/>
      <c r="U319" s="162"/>
      <c r="V319" s="162"/>
      <c r="W319" s="162"/>
      <c r="X319" s="162"/>
      <c r="Y319" s="162"/>
      <c r="Z319" s="162"/>
      <c r="AA319" s="162"/>
      <c r="AB319" s="162"/>
      <c r="AC319" s="162"/>
      <c r="AD319" s="162"/>
      <c r="AE319" s="162"/>
      <c r="AF319" s="162"/>
      <c r="AG319" s="162"/>
      <c r="AH319" s="162"/>
      <c r="AI319" s="162"/>
      <c r="AJ319" s="162"/>
      <c r="AK319" s="162"/>
      <c r="AL319" s="162"/>
      <c r="AM319" s="162"/>
      <c r="AN319" s="162"/>
    </row>
    <row r="320" spans="2:40" s="163" customFormat="1" ht="54" customHeight="1" outlineLevel="1" x14ac:dyDescent="0.2">
      <c r="B320" s="46" t="s">
        <v>246</v>
      </c>
      <c r="C320" s="330">
        <v>43405</v>
      </c>
      <c r="D320" s="330">
        <v>43551</v>
      </c>
      <c r="E320" s="332">
        <v>40</v>
      </c>
      <c r="F320" s="276"/>
      <c r="G320" s="280">
        <v>1257.0899999999999</v>
      </c>
      <c r="H320" s="239"/>
      <c r="I320" s="169">
        <f t="shared" si="17"/>
        <v>1257.0899999999999</v>
      </c>
      <c r="J320" s="277">
        <v>1257.0899999999999</v>
      </c>
      <c r="K320" s="170">
        <f t="shared" si="18"/>
        <v>0</v>
      </c>
      <c r="L320" s="171">
        <f t="shared" si="19"/>
        <v>0</v>
      </c>
    </row>
    <row r="321" spans="2:40" ht="39" customHeight="1" outlineLevel="1" x14ac:dyDescent="0.2">
      <c r="B321" s="46" t="s">
        <v>65</v>
      </c>
      <c r="C321" s="330">
        <v>43282</v>
      </c>
      <c r="D321" s="330">
        <v>43830</v>
      </c>
      <c r="E321" s="332">
        <v>40</v>
      </c>
      <c r="F321" s="166"/>
      <c r="G321" s="281">
        <v>186877.19</v>
      </c>
      <c r="H321" s="239"/>
      <c r="I321" s="169">
        <f t="shared" si="17"/>
        <v>186877.19</v>
      </c>
      <c r="J321" s="277">
        <v>186877.19</v>
      </c>
      <c r="K321" s="170">
        <f t="shared" si="18"/>
        <v>0</v>
      </c>
      <c r="L321" s="171">
        <f t="shared" si="19"/>
        <v>0</v>
      </c>
    </row>
    <row r="322" spans="2:40" ht="39" customHeight="1" outlineLevel="1" x14ac:dyDescent="0.2">
      <c r="B322" s="46" t="s">
        <v>106</v>
      </c>
      <c r="C322" s="329">
        <v>43101</v>
      </c>
      <c r="D322" s="330">
        <v>43496</v>
      </c>
      <c r="E322" s="331">
        <v>40</v>
      </c>
      <c r="F322" s="166">
        <v>35000</v>
      </c>
      <c r="G322" s="166"/>
      <c r="H322" s="239"/>
      <c r="I322" s="169">
        <f t="shared" si="17"/>
        <v>35000</v>
      </c>
      <c r="J322" s="277">
        <v>35000</v>
      </c>
      <c r="K322" s="170">
        <f t="shared" si="18"/>
        <v>0</v>
      </c>
      <c r="L322" s="171">
        <f t="shared" si="19"/>
        <v>0</v>
      </c>
    </row>
    <row r="323" spans="2:40" ht="50.25" customHeight="1" outlineLevel="1" x14ac:dyDescent="0.2">
      <c r="B323" s="46" t="s">
        <v>107</v>
      </c>
      <c r="C323" s="329">
        <v>43374</v>
      </c>
      <c r="D323" s="330">
        <v>43556</v>
      </c>
      <c r="E323" s="331">
        <v>80</v>
      </c>
      <c r="F323" s="166">
        <v>22700</v>
      </c>
      <c r="G323" s="166"/>
      <c r="H323" s="239"/>
      <c r="I323" s="169">
        <f t="shared" ref="I323:I330" si="20">F323+G323</f>
        <v>22700</v>
      </c>
      <c r="J323" s="277">
        <v>22700</v>
      </c>
      <c r="K323" s="170">
        <f t="shared" ref="K323:K329" si="21">I323-J323</f>
        <v>0</v>
      </c>
      <c r="L323" s="171">
        <f t="shared" ref="L323:L329" si="22">I323-J323</f>
        <v>0</v>
      </c>
    </row>
    <row r="324" spans="2:40" s="163" customFormat="1" ht="52.5" customHeight="1" outlineLevel="1" x14ac:dyDescent="0.2">
      <c r="B324" s="46" t="s">
        <v>337</v>
      </c>
      <c r="C324" s="329">
        <v>43206</v>
      </c>
      <c r="D324" s="330">
        <v>43556</v>
      </c>
      <c r="E324" s="331">
        <v>80</v>
      </c>
      <c r="F324" s="166">
        <v>13300</v>
      </c>
      <c r="G324" s="166"/>
      <c r="H324" s="239"/>
      <c r="I324" s="169">
        <f t="shared" si="20"/>
        <v>13300</v>
      </c>
      <c r="J324" s="277">
        <v>13300</v>
      </c>
      <c r="K324" s="170">
        <f t="shared" si="21"/>
        <v>0</v>
      </c>
      <c r="L324" s="171">
        <f t="shared" si="22"/>
        <v>0</v>
      </c>
    </row>
    <row r="325" spans="2:40" ht="39" customHeight="1" outlineLevel="1" x14ac:dyDescent="0.2">
      <c r="B325" s="46" t="s">
        <v>598</v>
      </c>
      <c r="C325" s="329">
        <v>43334</v>
      </c>
      <c r="D325" s="330">
        <v>43556</v>
      </c>
      <c r="E325" s="331">
        <v>10</v>
      </c>
      <c r="F325" s="166">
        <v>11400</v>
      </c>
      <c r="G325" s="166"/>
      <c r="H325" s="239"/>
      <c r="I325" s="169">
        <f t="shared" si="20"/>
        <v>11400</v>
      </c>
      <c r="J325" s="277">
        <v>11400</v>
      </c>
      <c r="K325" s="170">
        <f t="shared" si="21"/>
        <v>0</v>
      </c>
      <c r="L325" s="171">
        <f t="shared" si="22"/>
        <v>0</v>
      </c>
    </row>
    <row r="326" spans="2:40" s="72" customFormat="1" ht="39" customHeight="1" outlineLevel="1" x14ac:dyDescent="0.2">
      <c r="B326" s="46" t="s">
        <v>599</v>
      </c>
      <c r="C326" s="329">
        <v>43403</v>
      </c>
      <c r="D326" s="330">
        <v>43496</v>
      </c>
      <c r="E326" s="331">
        <v>10</v>
      </c>
      <c r="F326" s="166">
        <v>10800</v>
      </c>
      <c r="G326" s="166"/>
      <c r="H326" s="239"/>
      <c r="I326" s="169">
        <f t="shared" si="20"/>
        <v>10800</v>
      </c>
      <c r="J326" s="277">
        <v>10800</v>
      </c>
      <c r="K326" s="170">
        <f t="shared" si="21"/>
        <v>0</v>
      </c>
      <c r="L326" s="171">
        <f t="shared" si="22"/>
        <v>0</v>
      </c>
      <c r="M326" s="161"/>
      <c r="N326" s="161"/>
      <c r="O326" s="161"/>
      <c r="P326" s="162"/>
      <c r="Q326" s="162"/>
      <c r="R326" s="162"/>
      <c r="S326" s="162"/>
      <c r="T326" s="162"/>
      <c r="U326" s="162"/>
      <c r="V326" s="162"/>
      <c r="W326" s="162"/>
      <c r="X326" s="162"/>
      <c r="Y326" s="162"/>
      <c r="Z326" s="162"/>
      <c r="AA326" s="162"/>
      <c r="AB326" s="162"/>
      <c r="AC326" s="162"/>
      <c r="AD326" s="162"/>
      <c r="AE326" s="162"/>
      <c r="AF326" s="162"/>
      <c r="AG326" s="162"/>
      <c r="AH326" s="162"/>
      <c r="AI326" s="162"/>
      <c r="AJ326" s="162"/>
      <c r="AK326" s="162"/>
      <c r="AL326" s="162"/>
      <c r="AM326" s="162"/>
      <c r="AN326" s="162"/>
    </row>
    <row r="327" spans="2:40" s="72" customFormat="1" ht="39" customHeight="1" outlineLevel="1" x14ac:dyDescent="0.2">
      <c r="B327" s="46" t="s">
        <v>600</v>
      </c>
      <c r="C327" s="329">
        <v>43403</v>
      </c>
      <c r="D327" s="330">
        <v>43496</v>
      </c>
      <c r="E327" s="331">
        <v>80</v>
      </c>
      <c r="F327" s="166">
        <v>4200</v>
      </c>
      <c r="G327" s="166"/>
      <c r="H327" s="239"/>
      <c r="I327" s="169">
        <f t="shared" si="20"/>
        <v>4200</v>
      </c>
      <c r="J327" s="277">
        <v>4200</v>
      </c>
      <c r="K327" s="170">
        <f t="shared" si="21"/>
        <v>0</v>
      </c>
      <c r="L327" s="171">
        <f t="shared" si="22"/>
        <v>0</v>
      </c>
      <c r="M327" s="161"/>
      <c r="N327" s="161"/>
      <c r="O327" s="161"/>
      <c r="P327" s="162"/>
      <c r="Q327" s="162"/>
      <c r="R327" s="162"/>
      <c r="S327" s="162"/>
      <c r="T327" s="162"/>
      <c r="U327" s="162"/>
      <c r="V327" s="162"/>
      <c r="W327" s="162"/>
      <c r="X327" s="162"/>
      <c r="Y327" s="162"/>
      <c r="Z327" s="162"/>
      <c r="AA327" s="162"/>
      <c r="AB327" s="162"/>
      <c r="AC327" s="162"/>
      <c r="AD327" s="162"/>
      <c r="AE327" s="162"/>
      <c r="AF327" s="162"/>
      <c r="AG327" s="162"/>
      <c r="AH327" s="162"/>
      <c r="AI327" s="162"/>
      <c r="AJ327" s="162"/>
      <c r="AK327" s="162"/>
      <c r="AL327" s="162"/>
      <c r="AM327" s="162"/>
      <c r="AN327" s="162"/>
    </row>
    <row r="328" spans="2:40" s="72" customFormat="1" ht="48.75" customHeight="1" outlineLevel="1" x14ac:dyDescent="0.2">
      <c r="B328" s="46" t="s">
        <v>601</v>
      </c>
      <c r="C328" s="329">
        <v>43403</v>
      </c>
      <c r="D328" s="330">
        <v>43521</v>
      </c>
      <c r="E328" s="331">
        <v>80</v>
      </c>
      <c r="F328" s="166">
        <v>3900</v>
      </c>
      <c r="G328" s="166"/>
      <c r="H328" s="239"/>
      <c r="I328" s="169">
        <f t="shared" si="20"/>
        <v>3900</v>
      </c>
      <c r="J328" s="277">
        <v>3900</v>
      </c>
      <c r="K328" s="170">
        <f t="shared" si="21"/>
        <v>0</v>
      </c>
      <c r="L328" s="171">
        <f t="shared" si="22"/>
        <v>0</v>
      </c>
      <c r="M328" s="161"/>
      <c r="N328" s="161"/>
      <c r="O328" s="161"/>
      <c r="P328" s="162"/>
      <c r="Q328" s="162"/>
      <c r="R328" s="162"/>
      <c r="S328" s="162"/>
      <c r="T328" s="162"/>
      <c r="U328" s="162"/>
      <c r="V328" s="162"/>
      <c r="W328" s="162"/>
      <c r="X328" s="162"/>
      <c r="Y328" s="162"/>
      <c r="Z328" s="162"/>
      <c r="AA328" s="162"/>
      <c r="AB328" s="162"/>
      <c r="AC328" s="162"/>
      <c r="AD328" s="162"/>
      <c r="AE328" s="162"/>
      <c r="AF328" s="162"/>
      <c r="AG328" s="162"/>
      <c r="AH328" s="162"/>
      <c r="AI328" s="162"/>
      <c r="AJ328" s="162"/>
      <c r="AK328" s="162"/>
      <c r="AL328" s="162"/>
      <c r="AM328" s="162"/>
      <c r="AN328" s="162"/>
    </row>
    <row r="329" spans="2:40" ht="39" customHeight="1" outlineLevel="1" x14ac:dyDescent="0.2">
      <c r="B329" s="46" t="s">
        <v>329</v>
      </c>
      <c r="C329" s="329">
        <v>43334</v>
      </c>
      <c r="D329" s="330">
        <v>43496</v>
      </c>
      <c r="E329" s="331">
        <v>50</v>
      </c>
      <c r="F329" s="282">
        <v>3700</v>
      </c>
      <c r="G329" s="239"/>
      <c r="H329" s="283"/>
      <c r="I329" s="169">
        <f t="shared" si="20"/>
        <v>3700</v>
      </c>
      <c r="J329" s="277">
        <v>3700</v>
      </c>
      <c r="K329" s="170">
        <f t="shared" si="21"/>
        <v>0</v>
      </c>
      <c r="L329" s="171">
        <f t="shared" si="22"/>
        <v>0</v>
      </c>
    </row>
    <row r="330" spans="2:40" ht="18" customHeight="1" x14ac:dyDescent="0.2">
      <c r="B330" s="176"/>
      <c r="C330" s="329"/>
      <c r="D330" s="334"/>
      <c r="E330" s="283"/>
      <c r="F330" s="181">
        <f>SUM(F259:F329)</f>
        <v>306100</v>
      </c>
      <c r="G330" s="181">
        <f>SUM(G259:G329)</f>
        <v>885100.85000000009</v>
      </c>
      <c r="H330" s="181">
        <f>SUM(H259:H329)</f>
        <v>0</v>
      </c>
      <c r="I330" s="177">
        <f t="shared" si="20"/>
        <v>1191200.8500000001</v>
      </c>
      <c r="J330" s="177">
        <f>SUM(J259:J329)</f>
        <v>1191200.8500000001</v>
      </c>
      <c r="K330" s="178">
        <f>SUM(K259:K329)</f>
        <v>0</v>
      </c>
      <c r="L330" s="179">
        <f>SUM(L259:L329)</f>
        <v>0</v>
      </c>
    </row>
    <row r="331" spans="2:40" s="72" customFormat="1" ht="13.5" customHeight="1" x14ac:dyDescent="0.2">
      <c r="B331" s="39"/>
      <c r="C331" s="335"/>
      <c r="D331" s="335"/>
      <c r="E331" s="278"/>
      <c r="F331" s="239"/>
      <c r="G331" s="239"/>
      <c r="H331" s="239"/>
      <c r="I331" s="131"/>
      <c r="J331" s="164"/>
      <c r="K331" s="36"/>
      <c r="L331" s="19"/>
      <c r="M331" s="161"/>
      <c r="N331" s="161"/>
      <c r="O331" s="161"/>
      <c r="P331" s="162"/>
      <c r="Q331" s="162"/>
      <c r="R331" s="162"/>
      <c r="S331" s="162"/>
      <c r="T331" s="162"/>
      <c r="U331" s="162"/>
      <c r="V331" s="162"/>
      <c r="W331" s="162"/>
      <c r="X331" s="162"/>
      <c r="Y331" s="162"/>
      <c r="Z331" s="162"/>
      <c r="AA331" s="162"/>
      <c r="AB331" s="162"/>
      <c r="AC331" s="162"/>
      <c r="AD331" s="162"/>
      <c r="AE331" s="162"/>
      <c r="AF331" s="162"/>
      <c r="AG331" s="162"/>
      <c r="AH331" s="162"/>
      <c r="AI331" s="162"/>
      <c r="AJ331" s="162"/>
      <c r="AK331" s="162"/>
      <c r="AL331" s="162"/>
      <c r="AM331" s="162"/>
      <c r="AN331" s="162"/>
    </row>
    <row r="332" spans="2:40" s="72" customFormat="1" ht="39" customHeight="1" x14ac:dyDescent="0.2">
      <c r="B332" s="42" t="s">
        <v>137</v>
      </c>
      <c r="C332" s="329"/>
      <c r="D332" s="330"/>
      <c r="E332" s="336"/>
      <c r="F332" s="238"/>
      <c r="G332" s="238"/>
      <c r="H332" s="239"/>
      <c r="I332" s="132"/>
      <c r="J332" s="164"/>
      <c r="K332" s="36"/>
      <c r="L332" s="19"/>
      <c r="M332" s="161"/>
      <c r="N332" s="161"/>
      <c r="O332" s="161"/>
      <c r="P332" s="162"/>
      <c r="Q332" s="162"/>
      <c r="R332" s="162"/>
      <c r="S332" s="162"/>
      <c r="T332" s="162"/>
      <c r="U332" s="162"/>
      <c r="V332" s="162"/>
      <c r="W332" s="162"/>
      <c r="X332" s="162"/>
      <c r="Y332" s="162"/>
      <c r="Z332" s="162"/>
      <c r="AA332" s="162"/>
      <c r="AB332" s="162"/>
      <c r="AC332" s="162"/>
      <c r="AD332" s="162"/>
      <c r="AE332" s="162"/>
      <c r="AF332" s="162"/>
      <c r="AG332" s="162"/>
      <c r="AH332" s="162"/>
      <c r="AI332" s="162"/>
      <c r="AJ332" s="162"/>
      <c r="AK332" s="162"/>
      <c r="AL332" s="162"/>
      <c r="AM332" s="162"/>
      <c r="AN332" s="162"/>
    </row>
    <row r="333" spans="2:40" ht="50.25" customHeight="1" outlineLevel="1" x14ac:dyDescent="0.2">
      <c r="B333" s="38" t="s">
        <v>250</v>
      </c>
      <c r="C333" s="329">
        <v>43189</v>
      </c>
      <c r="D333" s="329">
        <v>43510</v>
      </c>
      <c r="E333" s="337">
        <v>24</v>
      </c>
      <c r="F333" s="239">
        <v>7170</v>
      </c>
      <c r="G333" s="239"/>
      <c r="H333" s="239"/>
      <c r="I333" s="131">
        <v>7170</v>
      </c>
      <c r="J333" s="131">
        <v>7170</v>
      </c>
      <c r="K333" s="36"/>
      <c r="L333" s="19"/>
    </row>
    <row r="334" spans="2:40" ht="39" customHeight="1" outlineLevel="1" x14ac:dyDescent="0.2">
      <c r="B334" s="38" t="s">
        <v>602</v>
      </c>
      <c r="C334" s="329">
        <v>43459</v>
      </c>
      <c r="D334" s="329">
        <v>43551</v>
      </c>
      <c r="E334" s="337">
        <v>20</v>
      </c>
      <c r="F334" s="239">
        <v>0</v>
      </c>
      <c r="G334" s="239">
        <v>42000</v>
      </c>
      <c r="H334" s="239"/>
      <c r="I334" s="131">
        <v>42000</v>
      </c>
      <c r="J334" s="131">
        <v>42000</v>
      </c>
      <c r="K334" s="36"/>
      <c r="L334" s="19"/>
    </row>
    <row r="335" spans="2:40" ht="39" customHeight="1" outlineLevel="1" x14ac:dyDescent="0.2">
      <c r="B335" s="38" t="s">
        <v>603</v>
      </c>
      <c r="C335" s="329">
        <v>43453</v>
      </c>
      <c r="D335" s="329">
        <v>43668</v>
      </c>
      <c r="E335" s="337">
        <v>11</v>
      </c>
      <c r="F335" s="239">
        <v>6139</v>
      </c>
      <c r="G335" s="239"/>
      <c r="H335" s="239"/>
      <c r="I335" s="131">
        <v>6139</v>
      </c>
      <c r="J335" s="131">
        <v>6139</v>
      </c>
      <c r="K335" s="36"/>
      <c r="L335" s="19"/>
    </row>
    <row r="336" spans="2:40" ht="52.5" customHeight="1" outlineLevel="1" x14ac:dyDescent="0.2">
      <c r="B336" s="43" t="s">
        <v>604</v>
      </c>
      <c r="C336" s="329">
        <v>43453</v>
      </c>
      <c r="D336" s="329">
        <v>43697</v>
      </c>
      <c r="E336" s="283">
        <v>10</v>
      </c>
      <c r="F336" s="239">
        <v>5623</v>
      </c>
      <c r="G336" s="239"/>
      <c r="H336" s="239"/>
      <c r="I336" s="131">
        <v>5623</v>
      </c>
      <c r="J336" s="131">
        <v>5623</v>
      </c>
      <c r="K336" s="36"/>
      <c r="L336" s="19"/>
    </row>
    <row r="337" spans="2:12" ht="39" customHeight="1" outlineLevel="1" x14ac:dyDescent="0.2">
      <c r="B337" s="38" t="s">
        <v>605</v>
      </c>
      <c r="C337" s="329">
        <v>43434</v>
      </c>
      <c r="D337" s="329">
        <v>43626</v>
      </c>
      <c r="E337" s="337">
        <v>14</v>
      </c>
      <c r="F337" s="239">
        <v>10439</v>
      </c>
      <c r="G337" s="239"/>
      <c r="H337" s="239"/>
      <c r="I337" s="131">
        <v>10439</v>
      </c>
      <c r="J337" s="131">
        <v>10439</v>
      </c>
      <c r="K337" s="36"/>
      <c r="L337" s="19"/>
    </row>
    <row r="338" spans="2:12" ht="39" customHeight="1" outlineLevel="1" x14ac:dyDescent="0.2">
      <c r="B338" s="38" t="s">
        <v>606</v>
      </c>
      <c r="C338" s="329">
        <v>43459</v>
      </c>
      <c r="D338" s="329">
        <v>43932</v>
      </c>
      <c r="E338" s="337">
        <v>30</v>
      </c>
      <c r="F338" s="239">
        <v>0</v>
      </c>
      <c r="G338" s="239">
        <v>315000</v>
      </c>
      <c r="H338" s="239"/>
      <c r="I338" s="131">
        <v>315000</v>
      </c>
      <c r="J338" s="131">
        <v>315000</v>
      </c>
      <c r="K338" s="36"/>
      <c r="L338" s="19"/>
    </row>
    <row r="339" spans="2:12" ht="39" customHeight="1" outlineLevel="1" x14ac:dyDescent="0.2">
      <c r="B339" s="38" t="s">
        <v>607</v>
      </c>
      <c r="C339" s="329">
        <v>43453</v>
      </c>
      <c r="D339" s="329">
        <v>43696</v>
      </c>
      <c r="E339" s="337">
        <v>13</v>
      </c>
      <c r="F339" s="239">
        <v>12281</v>
      </c>
      <c r="G339" s="239"/>
      <c r="H339" s="239"/>
      <c r="I339" s="131">
        <v>12281</v>
      </c>
      <c r="J339" s="131">
        <v>12281</v>
      </c>
      <c r="K339" s="36"/>
      <c r="L339" s="19"/>
    </row>
    <row r="340" spans="2:12" ht="51.75" customHeight="1" outlineLevel="1" x14ac:dyDescent="0.2">
      <c r="B340" s="38" t="s">
        <v>608</v>
      </c>
      <c r="C340" s="329">
        <v>43453</v>
      </c>
      <c r="D340" s="329">
        <v>43649</v>
      </c>
      <c r="E340" s="337">
        <v>18</v>
      </c>
      <c r="F340" s="239">
        <v>5235</v>
      </c>
      <c r="G340" s="239"/>
      <c r="H340" s="239"/>
      <c r="I340" s="131">
        <v>5235</v>
      </c>
      <c r="J340" s="131">
        <v>5235</v>
      </c>
      <c r="K340" s="36"/>
      <c r="L340" s="19"/>
    </row>
    <row r="341" spans="2:12" ht="39" customHeight="1" outlineLevel="1" x14ac:dyDescent="0.2">
      <c r="B341" s="38" t="s">
        <v>609</v>
      </c>
      <c r="C341" s="329">
        <v>43459</v>
      </c>
      <c r="D341" s="329">
        <v>43510</v>
      </c>
      <c r="E341" s="337">
        <v>25</v>
      </c>
      <c r="F341" s="239">
        <v>0</v>
      </c>
      <c r="G341" s="239">
        <v>36000</v>
      </c>
      <c r="H341" s="239"/>
      <c r="I341" s="131">
        <v>36000</v>
      </c>
      <c r="J341" s="131">
        <v>36000</v>
      </c>
      <c r="K341" s="36"/>
      <c r="L341" s="19"/>
    </row>
    <row r="342" spans="2:12" ht="51.75" customHeight="1" outlineLevel="1" x14ac:dyDescent="0.2">
      <c r="B342" s="38" t="s">
        <v>610</v>
      </c>
      <c r="C342" s="329">
        <v>43459</v>
      </c>
      <c r="D342" s="329">
        <v>43551</v>
      </c>
      <c r="E342" s="337">
        <v>25</v>
      </c>
      <c r="F342" s="239">
        <v>0</v>
      </c>
      <c r="G342" s="239">
        <v>36000</v>
      </c>
      <c r="H342" s="239"/>
      <c r="I342" s="131">
        <v>36000</v>
      </c>
      <c r="J342" s="131">
        <v>36000</v>
      </c>
      <c r="K342" s="36"/>
      <c r="L342" s="19"/>
    </row>
    <row r="343" spans="2:12" ht="39" customHeight="1" outlineLevel="1" x14ac:dyDescent="0.2">
      <c r="B343" s="38" t="s">
        <v>611</v>
      </c>
      <c r="C343" s="329">
        <v>43453</v>
      </c>
      <c r="D343" s="329">
        <v>43722</v>
      </c>
      <c r="E343" s="337">
        <v>15</v>
      </c>
      <c r="F343" s="239">
        <v>14053</v>
      </c>
      <c r="G343" s="239"/>
      <c r="H343" s="239"/>
      <c r="I343" s="131">
        <v>14053</v>
      </c>
      <c r="J343" s="131">
        <v>14053</v>
      </c>
      <c r="K343" s="36"/>
      <c r="L343" s="19"/>
    </row>
    <row r="344" spans="2:12" ht="55.5" customHeight="1" outlineLevel="1" x14ac:dyDescent="0.2">
      <c r="B344" s="38" t="s">
        <v>612</v>
      </c>
      <c r="C344" s="329">
        <v>43453</v>
      </c>
      <c r="D344" s="329">
        <v>43661</v>
      </c>
      <c r="E344" s="337">
        <v>17</v>
      </c>
      <c r="F344" s="239">
        <v>6960</v>
      </c>
      <c r="G344" s="239"/>
      <c r="H344" s="239"/>
      <c r="I344" s="131">
        <v>6960</v>
      </c>
      <c r="J344" s="131">
        <v>6960</v>
      </c>
      <c r="K344" s="36"/>
      <c r="L344" s="19"/>
    </row>
    <row r="345" spans="2:12" ht="72" customHeight="1" outlineLevel="1" x14ac:dyDescent="0.2">
      <c r="B345" s="38" t="s">
        <v>613</v>
      </c>
      <c r="C345" s="329">
        <v>43453</v>
      </c>
      <c r="D345" s="329">
        <v>43675</v>
      </c>
      <c r="E345" s="337">
        <v>16</v>
      </c>
      <c r="F345" s="239">
        <v>5623</v>
      </c>
      <c r="G345" s="239"/>
      <c r="H345" s="239"/>
      <c r="I345" s="131">
        <v>5623</v>
      </c>
      <c r="J345" s="131">
        <v>5623</v>
      </c>
      <c r="K345" s="36"/>
      <c r="L345" s="19"/>
    </row>
    <row r="346" spans="2:12" ht="44.25" customHeight="1" outlineLevel="1" x14ac:dyDescent="0.2">
      <c r="B346" s="38" t="s">
        <v>614</v>
      </c>
      <c r="C346" s="329">
        <v>43453</v>
      </c>
      <c r="D346" s="329">
        <v>43642</v>
      </c>
      <c r="E346" s="337">
        <v>19</v>
      </c>
      <c r="F346" s="239">
        <v>9415</v>
      </c>
      <c r="G346" s="239"/>
      <c r="H346" s="239"/>
      <c r="I346" s="131">
        <v>9415</v>
      </c>
      <c r="J346" s="131">
        <v>9415</v>
      </c>
      <c r="K346" s="36"/>
      <c r="L346" s="19"/>
    </row>
    <row r="347" spans="2:12" ht="39" customHeight="1" outlineLevel="1" x14ac:dyDescent="0.2">
      <c r="B347" s="38" t="s">
        <v>615</v>
      </c>
      <c r="C347" s="329">
        <v>43404</v>
      </c>
      <c r="D347" s="329">
        <v>43957</v>
      </c>
      <c r="E347" s="337">
        <v>70</v>
      </c>
      <c r="F347" s="239">
        <v>8191</v>
      </c>
      <c r="G347" s="239"/>
      <c r="H347" s="239"/>
      <c r="I347" s="131">
        <v>8191</v>
      </c>
      <c r="J347" s="131">
        <v>8191</v>
      </c>
      <c r="K347" s="36"/>
      <c r="L347" s="19"/>
    </row>
    <row r="348" spans="2:12" ht="39" customHeight="1" outlineLevel="1" x14ac:dyDescent="0.2">
      <c r="B348" s="38" t="s">
        <v>616</v>
      </c>
      <c r="C348" s="329">
        <v>43453</v>
      </c>
      <c r="D348" s="329">
        <v>43718</v>
      </c>
      <c r="E348" s="337">
        <v>9</v>
      </c>
      <c r="F348" s="239">
        <v>10240</v>
      </c>
      <c r="G348" s="239"/>
      <c r="H348" s="239"/>
      <c r="I348" s="131">
        <v>10240</v>
      </c>
      <c r="J348" s="131">
        <v>10240</v>
      </c>
      <c r="K348" s="36"/>
      <c r="L348" s="29"/>
    </row>
    <row r="349" spans="2:12" ht="39" customHeight="1" outlineLevel="1" x14ac:dyDescent="0.2">
      <c r="B349" s="38" t="s">
        <v>617</v>
      </c>
      <c r="C349" s="329">
        <v>43404</v>
      </c>
      <c r="D349" s="329">
        <v>43650</v>
      </c>
      <c r="E349" s="337">
        <v>65</v>
      </c>
      <c r="F349" s="239">
        <v>9415</v>
      </c>
      <c r="G349" s="239">
        <v>27000</v>
      </c>
      <c r="H349" s="239"/>
      <c r="I349" s="131">
        <v>36415</v>
      </c>
      <c r="J349" s="131">
        <v>36415</v>
      </c>
      <c r="K349" s="36"/>
      <c r="L349" s="29"/>
    </row>
    <row r="350" spans="2:12" ht="68.25" customHeight="1" outlineLevel="1" x14ac:dyDescent="0.2">
      <c r="B350" s="38" t="s">
        <v>618</v>
      </c>
      <c r="C350" s="329">
        <v>43404</v>
      </c>
      <c r="D350" s="329">
        <v>43593</v>
      </c>
      <c r="E350" s="337">
        <v>20</v>
      </c>
      <c r="F350" s="239">
        <v>12281</v>
      </c>
      <c r="G350" s="239"/>
      <c r="H350" s="239"/>
      <c r="I350" s="131">
        <v>12281</v>
      </c>
      <c r="J350" s="131">
        <v>12281</v>
      </c>
      <c r="K350" s="36"/>
      <c r="L350" s="29"/>
    </row>
    <row r="351" spans="2:12" s="163" customFormat="1" ht="39.75" customHeight="1" outlineLevel="1" x14ac:dyDescent="0.2">
      <c r="B351" s="38" t="s">
        <v>619</v>
      </c>
      <c r="C351" s="329">
        <v>43404</v>
      </c>
      <c r="D351" s="329">
        <v>43626</v>
      </c>
      <c r="E351" s="337">
        <v>16</v>
      </c>
      <c r="F351" s="239">
        <v>8191</v>
      </c>
      <c r="G351" s="239"/>
      <c r="H351" s="239"/>
      <c r="I351" s="131">
        <v>8191</v>
      </c>
      <c r="J351" s="131">
        <v>8191</v>
      </c>
      <c r="K351" s="36"/>
      <c r="L351" s="29"/>
    </row>
    <row r="352" spans="2:12" s="180" customFormat="1" ht="39" customHeight="1" outlineLevel="1" x14ac:dyDescent="0.2">
      <c r="B352" s="38" t="s">
        <v>620</v>
      </c>
      <c r="C352" s="329">
        <v>43404</v>
      </c>
      <c r="D352" s="329">
        <v>43621</v>
      </c>
      <c r="E352" s="337">
        <v>16</v>
      </c>
      <c r="F352" s="239">
        <v>8191</v>
      </c>
      <c r="G352" s="239"/>
      <c r="H352" s="239"/>
      <c r="I352" s="131">
        <v>8191</v>
      </c>
      <c r="J352" s="131">
        <v>8191</v>
      </c>
      <c r="K352" s="36"/>
      <c r="L352" s="29"/>
    </row>
    <row r="353" spans="2:12" ht="39" customHeight="1" outlineLevel="1" x14ac:dyDescent="0.2">
      <c r="B353" s="38" t="s">
        <v>621</v>
      </c>
      <c r="C353" s="329">
        <v>43404</v>
      </c>
      <c r="D353" s="329">
        <v>43600</v>
      </c>
      <c r="E353" s="337">
        <v>17</v>
      </c>
      <c r="F353" s="239">
        <v>8868</v>
      </c>
      <c r="G353" s="239"/>
      <c r="H353" s="239"/>
      <c r="I353" s="131">
        <v>8868</v>
      </c>
      <c r="J353" s="131">
        <v>8868</v>
      </c>
      <c r="K353" s="37"/>
      <c r="L353" s="26"/>
    </row>
    <row r="354" spans="2:12" ht="39" customHeight="1" outlineLevel="1" x14ac:dyDescent="0.2">
      <c r="B354" s="38" t="s">
        <v>251</v>
      </c>
      <c r="C354" s="329">
        <v>43251</v>
      </c>
      <c r="D354" s="329">
        <v>43517</v>
      </c>
      <c r="E354" s="337">
        <v>17</v>
      </c>
      <c r="F354" s="239">
        <v>5000</v>
      </c>
      <c r="G354" s="131"/>
      <c r="H354" s="131"/>
      <c r="I354" s="131">
        <v>5000</v>
      </c>
      <c r="J354" s="131">
        <v>5000</v>
      </c>
      <c r="K354" s="37"/>
      <c r="L354" s="26"/>
    </row>
    <row r="355" spans="2:12" ht="39" customHeight="1" outlineLevel="1" x14ac:dyDescent="0.2">
      <c r="B355" s="38" t="s">
        <v>339</v>
      </c>
      <c r="C355" s="329">
        <v>43355</v>
      </c>
      <c r="D355" s="329">
        <v>43566</v>
      </c>
      <c r="E355" s="337">
        <v>13</v>
      </c>
      <c r="F355" s="239">
        <v>8191</v>
      </c>
      <c r="G355" s="131"/>
      <c r="H355" s="131"/>
      <c r="I355" s="131">
        <v>8191</v>
      </c>
      <c r="J355" s="131">
        <v>8191</v>
      </c>
      <c r="K355" s="37"/>
      <c r="L355" s="26"/>
    </row>
    <row r="356" spans="2:12" ht="39" customHeight="1" outlineLevel="1" x14ac:dyDescent="0.2">
      <c r="B356" s="38" t="s">
        <v>340</v>
      </c>
      <c r="C356" s="329">
        <v>43355</v>
      </c>
      <c r="D356" s="329">
        <v>43619</v>
      </c>
      <c r="E356" s="337">
        <v>26</v>
      </c>
      <c r="F356" s="239">
        <v>12281</v>
      </c>
      <c r="G356" s="131"/>
      <c r="H356" s="131"/>
      <c r="I356" s="131">
        <v>12281</v>
      </c>
      <c r="J356" s="131">
        <v>12281</v>
      </c>
      <c r="K356" s="37"/>
      <c r="L356" s="26"/>
    </row>
    <row r="357" spans="2:12" ht="39" customHeight="1" outlineLevel="1" x14ac:dyDescent="0.2">
      <c r="B357" s="38" t="s">
        <v>622</v>
      </c>
      <c r="C357" s="329">
        <v>43404</v>
      </c>
      <c r="D357" s="329">
        <v>43626</v>
      </c>
      <c r="E357" s="337">
        <v>21</v>
      </c>
      <c r="F357" s="239">
        <v>12281</v>
      </c>
      <c r="G357" s="239"/>
      <c r="H357" s="239"/>
      <c r="I357" s="131">
        <v>12281</v>
      </c>
      <c r="J357" s="131">
        <v>12281</v>
      </c>
      <c r="K357" s="37"/>
      <c r="L357" s="26"/>
    </row>
    <row r="358" spans="2:12" ht="18.75" customHeight="1" x14ac:dyDescent="0.2">
      <c r="B358" s="39"/>
      <c r="C358" s="329"/>
      <c r="D358" s="329"/>
      <c r="E358" s="337"/>
      <c r="F358" s="181">
        <f>SUM(F333:F357)</f>
        <v>186068</v>
      </c>
      <c r="G358" s="181">
        <f>SUM(G333:G357)</f>
        <v>456000</v>
      </c>
      <c r="H358" s="181">
        <f>SUM(H331:H357)</f>
        <v>0</v>
      </c>
      <c r="I358" s="181">
        <f>SUM(I331:I357)</f>
        <v>642068</v>
      </c>
      <c r="J358" s="181">
        <f>SUM(J331:J357)</f>
        <v>642068</v>
      </c>
      <c r="K358" s="37"/>
      <c r="L358" s="26"/>
    </row>
    <row r="359" spans="2:12" ht="15.75" customHeight="1" x14ac:dyDescent="0.2">
      <c r="B359" s="39"/>
      <c r="C359" s="335"/>
      <c r="D359" s="335"/>
      <c r="E359" s="278"/>
      <c r="F359" s="239"/>
      <c r="G359" s="239"/>
      <c r="H359" s="239"/>
      <c r="I359" s="131"/>
      <c r="J359" s="164"/>
      <c r="K359" s="37"/>
      <c r="L359" s="26"/>
    </row>
    <row r="360" spans="2:12" ht="33.75" customHeight="1" x14ac:dyDescent="0.2">
      <c r="B360" s="71" t="s">
        <v>623</v>
      </c>
      <c r="C360" s="329"/>
      <c r="D360" s="330"/>
      <c r="E360" s="338"/>
      <c r="F360" s="238"/>
      <c r="G360" s="238"/>
      <c r="H360" s="239"/>
      <c r="I360" s="132"/>
      <c r="J360" s="164"/>
      <c r="K360" s="37"/>
      <c r="L360" s="26"/>
    </row>
    <row r="361" spans="2:12" ht="67.5" customHeight="1" outlineLevel="1" x14ac:dyDescent="0.2">
      <c r="B361" s="46" t="s">
        <v>252</v>
      </c>
      <c r="C361" s="329">
        <v>43028</v>
      </c>
      <c r="D361" s="330">
        <v>43750</v>
      </c>
      <c r="E361" s="338">
        <v>30</v>
      </c>
      <c r="F361" s="238">
        <v>20000</v>
      </c>
      <c r="G361" s="238">
        <v>3000</v>
      </c>
      <c r="H361" s="239"/>
      <c r="I361" s="132">
        <f>F361+G361+H361</f>
        <v>23000</v>
      </c>
      <c r="J361" s="132">
        <f>I361</f>
        <v>23000</v>
      </c>
      <c r="K361" s="37"/>
      <c r="L361" s="26"/>
    </row>
    <row r="362" spans="2:12" ht="56.25" customHeight="1" outlineLevel="1" x14ac:dyDescent="0.2">
      <c r="B362" s="46" t="s">
        <v>253</v>
      </c>
      <c r="C362" s="329">
        <v>42961</v>
      </c>
      <c r="D362" s="330">
        <v>43616</v>
      </c>
      <c r="E362" s="338">
        <v>80</v>
      </c>
      <c r="F362" s="238">
        <v>5950</v>
      </c>
      <c r="G362" s="238"/>
      <c r="H362" s="239"/>
      <c r="I362" s="132">
        <f t="shared" ref="I362:I368" si="23">F362+G362+H362</f>
        <v>5950</v>
      </c>
      <c r="J362" s="132">
        <f t="shared" ref="J362:J368" si="24">I362</f>
        <v>5950</v>
      </c>
      <c r="K362" s="37"/>
      <c r="L362" s="26"/>
    </row>
    <row r="363" spans="2:12" ht="39" customHeight="1" outlineLevel="1" x14ac:dyDescent="0.2">
      <c r="B363" s="46" t="s">
        <v>624</v>
      </c>
      <c r="C363" s="329">
        <v>43361</v>
      </c>
      <c r="D363" s="330">
        <v>43633</v>
      </c>
      <c r="E363" s="338">
        <v>30</v>
      </c>
      <c r="F363" s="238">
        <v>10000</v>
      </c>
      <c r="G363" s="238"/>
      <c r="H363" s="239"/>
      <c r="I363" s="132">
        <f t="shared" si="23"/>
        <v>10000</v>
      </c>
      <c r="J363" s="132">
        <f t="shared" si="24"/>
        <v>10000</v>
      </c>
      <c r="K363" s="37"/>
      <c r="L363" s="26"/>
    </row>
    <row r="364" spans="2:12" ht="39" customHeight="1" outlineLevel="1" x14ac:dyDescent="0.2">
      <c r="B364" s="46" t="s">
        <v>625</v>
      </c>
      <c r="C364" s="329">
        <v>43411</v>
      </c>
      <c r="D364" s="330">
        <v>43683</v>
      </c>
      <c r="E364" s="338">
        <v>30</v>
      </c>
      <c r="F364" s="238">
        <v>6500</v>
      </c>
      <c r="G364" s="238"/>
      <c r="H364" s="239"/>
      <c r="I364" s="132">
        <f t="shared" si="23"/>
        <v>6500</v>
      </c>
      <c r="J364" s="132">
        <f t="shared" si="24"/>
        <v>6500</v>
      </c>
      <c r="K364" s="37"/>
      <c r="L364" s="26"/>
    </row>
    <row r="365" spans="2:12" ht="39" customHeight="1" outlineLevel="1" x14ac:dyDescent="0.2">
      <c r="B365" s="46" t="s">
        <v>626</v>
      </c>
      <c r="C365" s="329">
        <v>43266</v>
      </c>
      <c r="D365" s="330">
        <v>43538</v>
      </c>
      <c r="E365" s="338">
        <v>30</v>
      </c>
      <c r="F365" s="238">
        <v>8000</v>
      </c>
      <c r="G365" s="238"/>
      <c r="H365" s="239"/>
      <c r="I365" s="132">
        <f t="shared" si="23"/>
        <v>8000</v>
      </c>
      <c r="J365" s="132">
        <f t="shared" si="24"/>
        <v>8000</v>
      </c>
      <c r="K365" s="37"/>
      <c r="L365" s="26"/>
    </row>
    <row r="366" spans="2:12" ht="92.25" customHeight="1" outlineLevel="1" x14ac:dyDescent="0.2">
      <c r="B366" s="46" t="s">
        <v>254</v>
      </c>
      <c r="C366" s="329">
        <v>42744</v>
      </c>
      <c r="D366" s="330" t="s">
        <v>255</v>
      </c>
      <c r="E366" s="338"/>
      <c r="F366" s="238"/>
      <c r="G366" s="238">
        <v>51482.7</v>
      </c>
      <c r="H366" s="239"/>
      <c r="I366" s="132">
        <f t="shared" si="23"/>
        <v>51482.7</v>
      </c>
      <c r="J366" s="132">
        <f t="shared" si="24"/>
        <v>51482.7</v>
      </c>
      <c r="K366" s="37"/>
      <c r="L366" s="26"/>
    </row>
    <row r="367" spans="2:12" ht="100.5" customHeight="1" outlineLevel="1" x14ac:dyDescent="0.2">
      <c r="B367" s="46" t="s">
        <v>256</v>
      </c>
      <c r="C367" s="329">
        <v>42744</v>
      </c>
      <c r="D367" s="330" t="s">
        <v>255</v>
      </c>
      <c r="E367" s="338"/>
      <c r="F367" s="238"/>
      <c r="G367" s="238">
        <v>230828.79999999999</v>
      </c>
      <c r="H367" s="239"/>
      <c r="I367" s="132">
        <f t="shared" si="23"/>
        <v>230828.79999999999</v>
      </c>
      <c r="J367" s="132">
        <f t="shared" si="24"/>
        <v>230828.79999999999</v>
      </c>
      <c r="K367" s="37"/>
      <c r="L367" s="26"/>
    </row>
    <row r="368" spans="2:12" ht="96" outlineLevel="1" x14ac:dyDescent="0.2">
      <c r="B368" s="46" t="s">
        <v>257</v>
      </c>
      <c r="C368" s="329">
        <v>42744</v>
      </c>
      <c r="D368" s="330" t="s">
        <v>255</v>
      </c>
      <c r="E368" s="338"/>
      <c r="F368" s="238"/>
      <c r="G368" s="238">
        <v>147370.81</v>
      </c>
      <c r="H368" s="239"/>
      <c r="I368" s="132">
        <f t="shared" si="23"/>
        <v>147370.81</v>
      </c>
      <c r="J368" s="132">
        <f t="shared" si="24"/>
        <v>147370.81</v>
      </c>
      <c r="K368" s="37"/>
      <c r="L368" s="26"/>
    </row>
    <row r="369" spans="2:12" ht="12.75" x14ac:dyDescent="0.2">
      <c r="B369" s="41"/>
      <c r="C369" s="339"/>
      <c r="D369" s="329"/>
      <c r="E369" s="340"/>
      <c r="F369" s="182">
        <f>SUM(F359:F368)</f>
        <v>50450</v>
      </c>
      <c r="G369" s="182">
        <f>SUM(G359:G368)</f>
        <v>432682.31</v>
      </c>
      <c r="H369" s="182">
        <f>SUM(H359:H368)</f>
        <v>0</v>
      </c>
      <c r="I369" s="182">
        <f>SUM(I359:I368)</f>
        <v>483132.31</v>
      </c>
      <c r="J369" s="182">
        <f>SUM(J359:J368)</f>
        <v>483132.31</v>
      </c>
      <c r="K369" s="37"/>
      <c r="L369" s="26"/>
    </row>
    <row r="370" spans="2:12" ht="12.75" x14ac:dyDescent="0.2">
      <c r="B370" s="114"/>
      <c r="C370" s="341"/>
      <c r="D370" s="316"/>
      <c r="E370" s="342"/>
      <c r="F370" s="183"/>
      <c r="G370" s="183"/>
      <c r="H370" s="183"/>
      <c r="I370" s="183"/>
      <c r="J370" s="183"/>
      <c r="K370" s="115"/>
      <c r="L370" s="106"/>
    </row>
    <row r="371" spans="2:12" ht="24" x14ac:dyDescent="0.2">
      <c r="B371" s="42" t="s">
        <v>138</v>
      </c>
      <c r="C371" s="335"/>
      <c r="D371" s="327"/>
      <c r="E371" s="328"/>
      <c r="F371" s="239"/>
      <c r="G371" s="239"/>
      <c r="H371" s="239"/>
      <c r="I371" s="131"/>
      <c r="J371" s="164"/>
      <c r="K371" s="44"/>
      <c r="L371" s="45"/>
    </row>
    <row r="372" spans="2:12" ht="24" outlineLevel="1" x14ac:dyDescent="0.2">
      <c r="B372" s="184" t="s">
        <v>627</v>
      </c>
      <c r="C372" s="330">
        <v>43435</v>
      </c>
      <c r="D372" s="329">
        <v>43479</v>
      </c>
      <c r="E372" s="283">
        <v>10</v>
      </c>
      <c r="F372" s="239">
        <v>41533.18</v>
      </c>
      <c r="G372" s="239"/>
      <c r="H372" s="239">
        <v>0</v>
      </c>
      <c r="I372" s="131">
        <f t="shared" ref="I372:I415" si="25">F372+G372+H372</f>
        <v>41533.18</v>
      </c>
      <c r="J372" s="164">
        <v>41533.18</v>
      </c>
      <c r="K372" s="185"/>
      <c r="L372" s="186"/>
    </row>
    <row r="373" spans="2:12" ht="24" outlineLevel="1" x14ac:dyDescent="0.2">
      <c r="B373" s="184" t="s">
        <v>139</v>
      </c>
      <c r="C373" s="330">
        <v>43132</v>
      </c>
      <c r="D373" s="329">
        <v>43770</v>
      </c>
      <c r="E373" s="283">
        <v>10</v>
      </c>
      <c r="F373" s="239">
        <v>1985.24</v>
      </c>
      <c r="G373" s="239"/>
      <c r="H373" s="239">
        <v>0</v>
      </c>
      <c r="I373" s="131">
        <f t="shared" si="25"/>
        <v>1985.24</v>
      </c>
      <c r="J373" s="164">
        <v>1985.24</v>
      </c>
      <c r="K373" s="186"/>
      <c r="L373" s="186"/>
    </row>
    <row r="374" spans="2:12" ht="24" outlineLevel="1" x14ac:dyDescent="0.2">
      <c r="B374" s="184" t="s">
        <v>628</v>
      </c>
      <c r="C374" s="330">
        <v>43435</v>
      </c>
      <c r="D374" s="329">
        <v>43595</v>
      </c>
      <c r="E374" s="283">
        <v>10</v>
      </c>
      <c r="F374" s="239">
        <v>654.94000000000005</v>
      </c>
      <c r="G374" s="239"/>
      <c r="H374" s="239">
        <v>0</v>
      </c>
      <c r="I374" s="131">
        <f t="shared" si="25"/>
        <v>654.94000000000005</v>
      </c>
      <c r="J374" s="164">
        <v>654.94000000000005</v>
      </c>
      <c r="K374" s="186"/>
      <c r="L374" s="186"/>
    </row>
    <row r="375" spans="2:12" outlineLevel="1" x14ac:dyDescent="0.2">
      <c r="B375" s="184" t="s">
        <v>341</v>
      </c>
      <c r="C375" s="330">
        <v>43282</v>
      </c>
      <c r="D375" s="329">
        <v>43577</v>
      </c>
      <c r="E375" s="283">
        <v>10</v>
      </c>
      <c r="F375" s="239">
        <v>772.49</v>
      </c>
      <c r="G375" s="239"/>
      <c r="H375" s="239">
        <v>0</v>
      </c>
      <c r="I375" s="131">
        <f t="shared" si="25"/>
        <v>772.49</v>
      </c>
      <c r="J375" s="164">
        <v>772.49</v>
      </c>
      <c r="K375" s="186"/>
      <c r="L375" s="186"/>
    </row>
    <row r="376" spans="2:12" ht="24" outlineLevel="1" x14ac:dyDescent="0.2">
      <c r="B376" s="184" t="s">
        <v>342</v>
      </c>
      <c r="C376" s="330">
        <v>43282</v>
      </c>
      <c r="D376" s="329">
        <v>43476</v>
      </c>
      <c r="E376" s="283">
        <v>10</v>
      </c>
      <c r="F376" s="239">
        <v>725.32</v>
      </c>
      <c r="G376" s="239"/>
      <c r="H376" s="239">
        <v>0</v>
      </c>
      <c r="I376" s="131">
        <f t="shared" si="25"/>
        <v>725.32</v>
      </c>
      <c r="J376" s="164">
        <v>725.32</v>
      </c>
      <c r="K376" s="186"/>
      <c r="L376" s="186"/>
    </row>
    <row r="377" spans="2:12" outlineLevel="1" x14ac:dyDescent="0.2">
      <c r="B377" s="184" t="s">
        <v>629</v>
      </c>
      <c r="C377" s="330">
        <v>43435</v>
      </c>
      <c r="D377" s="329">
        <v>43533</v>
      </c>
      <c r="E377" s="283">
        <v>10</v>
      </c>
      <c r="F377" s="239">
        <v>10466.200000000001</v>
      </c>
      <c r="G377" s="239"/>
      <c r="H377" s="239">
        <v>0</v>
      </c>
      <c r="I377" s="131">
        <f t="shared" si="25"/>
        <v>10466.200000000001</v>
      </c>
      <c r="J377" s="164">
        <v>10466.200000000001</v>
      </c>
      <c r="K377" s="186"/>
      <c r="L377" s="186"/>
    </row>
    <row r="378" spans="2:12" outlineLevel="1" x14ac:dyDescent="0.2">
      <c r="B378" s="184" t="s">
        <v>630</v>
      </c>
      <c r="C378" s="330">
        <v>43435</v>
      </c>
      <c r="D378" s="329">
        <v>43649</v>
      </c>
      <c r="E378" s="283">
        <v>10</v>
      </c>
      <c r="F378" s="239">
        <v>1857.67</v>
      </c>
      <c r="G378" s="239"/>
      <c r="H378" s="239">
        <v>0</v>
      </c>
      <c r="I378" s="131">
        <f t="shared" si="25"/>
        <v>1857.67</v>
      </c>
      <c r="J378" s="164">
        <v>1857.67</v>
      </c>
      <c r="K378" s="186"/>
      <c r="L378" s="186"/>
    </row>
    <row r="379" spans="2:12" outlineLevel="1" x14ac:dyDescent="0.2">
      <c r="B379" s="184" t="s">
        <v>631</v>
      </c>
      <c r="C379" s="330">
        <v>43435</v>
      </c>
      <c r="D379" s="329">
        <v>43591</v>
      </c>
      <c r="E379" s="283">
        <v>10</v>
      </c>
      <c r="F379" s="239">
        <v>1857.67</v>
      </c>
      <c r="G379" s="239"/>
      <c r="H379" s="239">
        <v>0</v>
      </c>
      <c r="I379" s="131">
        <f t="shared" si="25"/>
        <v>1857.67</v>
      </c>
      <c r="J379" s="164">
        <v>1857.67</v>
      </c>
      <c r="K379" s="186"/>
      <c r="L379" s="186"/>
    </row>
    <row r="380" spans="2:12" ht="24" outlineLevel="1" x14ac:dyDescent="0.2">
      <c r="B380" s="184" t="s">
        <v>140</v>
      </c>
      <c r="C380" s="330">
        <v>43160</v>
      </c>
      <c r="D380" s="329">
        <v>43700</v>
      </c>
      <c r="E380" s="283">
        <v>10</v>
      </c>
      <c r="F380" s="239">
        <v>1733.63</v>
      </c>
      <c r="G380" s="239"/>
      <c r="H380" s="239">
        <v>0</v>
      </c>
      <c r="I380" s="131">
        <f t="shared" si="25"/>
        <v>1733.63</v>
      </c>
      <c r="J380" s="164">
        <v>1733.63</v>
      </c>
      <c r="K380" s="186"/>
      <c r="L380" s="186"/>
    </row>
    <row r="381" spans="2:12" outlineLevel="1" x14ac:dyDescent="0.2">
      <c r="B381" s="184" t="s">
        <v>632</v>
      </c>
      <c r="C381" s="330">
        <v>43435</v>
      </c>
      <c r="D381" s="329">
        <v>43792</v>
      </c>
      <c r="E381" s="283">
        <v>10</v>
      </c>
      <c r="F381" s="239">
        <v>43904.04</v>
      </c>
      <c r="G381" s="239"/>
      <c r="H381" s="239">
        <v>0</v>
      </c>
      <c r="I381" s="131">
        <f t="shared" si="25"/>
        <v>43904.04</v>
      </c>
      <c r="J381" s="164">
        <v>43904.04</v>
      </c>
      <c r="K381" s="186"/>
      <c r="L381" s="186"/>
    </row>
    <row r="382" spans="2:12" outlineLevel="1" x14ac:dyDescent="0.2">
      <c r="B382" s="184" t="s">
        <v>633</v>
      </c>
      <c r="C382" s="330">
        <v>41214</v>
      </c>
      <c r="D382" s="329">
        <v>43587</v>
      </c>
      <c r="E382" s="283">
        <v>10</v>
      </c>
      <c r="F382" s="239">
        <v>780.21</v>
      </c>
      <c r="G382" s="239"/>
      <c r="H382" s="239">
        <v>0</v>
      </c>
      <c r="I382" s="131">
        <f t="shared" si="25"/>
        <v>780.21</v>
      </c>
      <c r="J382" s="164">
        <v>780.21</v>
      </c>
      <c r="K382" s="186"/>
      <c r="L382" s="186"/>
    </row>
    <row r="383" spans="2:12" outlineLevel="1" x14ac:dyDescent="0.2">
      <c r="B383" s="184" t="s">
        <v>634</v>
      </c>
      <c r="C383" s="330">
        <v>43435</v>
      </c>
      <c r="D383" s="329">
        <v>43650</v>
      </c>
      <c r="E383" s="283">
        <v>10</v>
      </c>
      <c r="F383" s="239">
        <v>1857.67</v>
      </c>
      <c r="G383" s="239"/>
      <c r="H383" s="239">
        <v>0</v>
      </c>
      <c r="I383" s="131">
        <f t="shared" si="25"/>
        <v>1857.67</v>
      </c>
      <c r="J383" s="164">
        <v>1857.67</v>
      </c>
      <c r="K383" s="186"/>
      <c r="L383" s="186"/>
    </row>
    <row r="384" spans="2:12" outlineLevel="1" x14ac:dyDescent="0.2">
      <c r="B384" s="184" t="s">
        <v>635</v>
      </c>
      <c r="C384" s="330">
        <v>43405</v>
      </c>
      <c r="D384" s="329">
        <v>43350</v>
      </c>
      <c r="E384" s="283">
        <v>10</v>
      </c>
      <c r="F384" s="239">
        <v>22000</v>
      </c>
      <c r="G384" s="239"/>
      <c r="H384" s="239">
        <v>0</v>
      </c>
      <c r="I384" s="131">
        <f t="shared" si="25"/>
        <v>22000</v>
      </c>
      <c r="J384" s="164">
        <v>22000</v>
      </c>
      <c r="K384" s="186"/>
      <c r="L384" s="186"/>
    </row>
    <row r="385" spans="2:12" outlineLevel="1" x14ac:dyDescent="0.2">
      <c r="B385" s="184" t="s">
        <v>636</v>
      </c>
      <c r="C385" s="330">
        <v>43435</v>
      </c>
      <c r="D385" s="329">
        <v>43534</v>
      </c>
      <c r="E385" s="283">
        <v>10</v>
      </c>
      <c r="F385" s="239">
        <v>1857.67</v>
      </c>
      <c r="G385" s="239"/>
      <c r="H385" s="239">
        <v>0</v>
      </c>
      <c r="I385" s="131">
        <f t="shared" si="25"/>
        <v>1857.67</v>
      </c>
      <c r="J385" s="164">
        <v>1857.67</v>
      </c>
      <c r="K385" s="186"/>
      <c r="L385" s="186"/>
    </row>
    <row r="386" spans="2:12" outlineLevel="1" x14ac:dyDescent="0.2">
      <c r="B386" s="184" t="s">
        <v>258</v>
      </c>
      <c r="C386" s="330">
        <v>43252</v>
      </c>
      <c r="D386" s="329">
        <v>43489</v>
      </c>
      <c r="E386" s="283">
        <v>10</v>
      </c>
      <c r="F386" s="239">
        <v>1457.92</v>
      </c>
      <c r="G386" s="239"/>
      <c r="H386" s="239">
        <v>0</v>
      </c>
      <c r="I386" s="131">
        <f t="shared" si="25"/>
        <v>1457.92</v>
      </c>
      <c r="J386" s="164">
        <v>1457.92</v>
      </c>
      <c r="K386" s="186"/>
      <c r="L386" s="186"/>
    </row>
    <row r="387" spans="2:12" outlineLevel="1" x14ac:dyDescent="0.2">
      <c r="B387" s="184" t="s">
        <v>112</v>
      </c>
      <c r="C387" s="330">
        <v>43405</v>
      </c>
      <c r="D387" s="329">
        <v>43572</v>
      </c>
      <c r="E387" s="283">
        <v>10</v>
      </c>
      <c r="F387" s="239">
        <v>2847.74</v>
      </c>
      <c r="G387" s="239"/>
      <c r="H387" s="239">
        <v>0</v>
      </c>
      <c r="I387" s="131">
        <f t="shared" si="25"/>
        <v>2847.74</v>
      </c>
      <c r="J387" s="164">
        <v>2847.74</v>
      </c>
      <c r="K387" s="186"/>
      <c r="L387" s="186"/>
    </row>
    <row r="388" spans="2:12" ht="24" outlineLevel="1" x14ac:dyDescent="0.2">
      <c r="B388" s="184" t="s">
        <v>113</v>
      </c>
      <c r="C388" s="330">
        <v>43282</v>
      </c>
      <c r="D388" s="329">
        <v>43561</v>
      </c>
      <c r="E388" s="283">
        <v>80</v>
      </c>
      <c r="F388" s="239">
        <v>45875.93</v>
      </c>
      <c r="G388" s="239">
        <v>30640.66</v>
      </c>
      <c r="H388" s="239">
        <v>0</v>
      </c>
      <c r="I388" s="131">
        <f t="shared" si="25"/>
        <v>76516.59</v>
      </c>
      <c r="J388" s="164">
        <v>76516.59</v>
      </c>
      <c r="K388" s="186"/>
      <c r="L388" s="186"/>
    </row>
    <row r="389" spans="2:12" ht="24" outlineLevel="1" x14ac:dyDescent="0.2">
      <c r="B389" s="184" t="s">
        <v>637</v>
      </c>
      <c r="C389" s="330">
        <v>43405</v>
      </c>
      <c r="D389" s="329">
        <v>43626</v>
      </c>
      <c r="E389" s="283">
        <v>80</v>
      </c>
      <c r="F389" s="239">
        <v>1423.87</v>
      </c>
      <c r="G389" s="239">
        <v>18243.900000000001</v>
      </c>
      <c r="H389" s="239">
        <v>0</v>
      </c>
      <c r="I389" s="131">
        <f t="shared" si="25"/>
        <v>19667.77</v>
      </c>
      <c r="J389" s="164">
        <v>19667.77</v>
      </c>
      <c r="K389" s="186"/>
      <c r="L389" s="186"/>
    </row>
    <row r="390" spans="2:12" ht="24" outlineLevel="1" x14ac:dyDescent="0.2">
      <c r="B390" s="184" t="s">
        <v>638</v>
      </c>
      <c r="C390" s="330">
        <v>43405</v>
      </c>
      <c r="D390" s="329">
        <v>43640</v>
      </c>
      <c r="E390" s="283">
        <v>10</v>
      </c>
      <c r="F390" s="239">
        <v>1423.87</v>
      </c>
      <c r="G390" s="239"/>
      <c r="H390" s="239">
        <v>0</v>
      </c>
      <c r="I390" s="131">
        <f t="shared" si="25"/>
        <v>1423.87</v>
      </c>
      <c r="J390" s="164">
        <v>1423.87</v>
      </c>
      <c r="K390" s="186"/>
      <c r="L390" s="186"/>
    </row>
    <row r="391" spans="2:12" outlineLevel="1" x14ac:dyDescent="0.2">
      <c r="B391" s="184" t="s">
        <v>343</v>
      </c>
      <c r="C391" s="330">
        <v>43313</v>
      </c>
      <c r="D391" s="329">
        <v>43510</v>
      </c>
      <c r="E391" s="283">
        <v>10</v>
      </c>
      <c r="F391" s="239">
        <v>1209.77</v>
      </c>
      <c r="G391" s="239"/>
      <c r="H391" s="239">
        <v>0</v>
      </c>
      <c r="I391" s="131">
        <f t="shared" si="25"/>
        <v>1209.77</v>
      </c>
      <c r="J391" s="164">
        <v>1209.77</v>
      </c>
      <c r="K391" s="186"/>
      <c r="L391" s="186"/>
    </row>
    <row r="392" spans="2:12" ht="24" outlineLevel="1" x14ac:dyDescent="0.2">
      <c r="B392" s="184" t="s">
        <v>639</v>
      </c>
      <c r="C392" s="330">
        <v>43405</v>
      </c>
      <c r="D392" s="329">
        <v>43601</v>
      </c>
      <c r="E392" s="283">
        <v>10</v>
      </c>
      <c r="F392" s="239">
        <v>1423.87</v>
      </c>
      <c r="G392" s="239"/>
      <c r="H392" s="239">
        <v>0</v>
      </c>
      <c r="I392" s="131">
        <f t="shared" si="25"/>
        <v>1423.87</v>
      </c>
      <c r="J392" s="164">
        <v>1423.87</v>
      </c>
      <c r="K392" s="186"/>
      <c r="L392" s="186"/>
    </row>
    <row r="393" spans="2:12" ht="24" outlineLevel="1" x14ac:dyDescent="0.2">
      <c r="B393" s="184" t="s">
        <v>640</v>
      </c>
      <c r="C393" s="330">
        <v>43374</v>
      </c>
      <c r="D393" s="329">
        <v>43513</v>
      </c>
      <c r="E393" s="283">
        <v>10</v>
      </c>
      <c r="F393" s="239">
        <v>1354.86</v>
      </c>
      <c r="G393" s="239"/>
      <c r="H393" s="239">
        <v>0</v>
      </c>
      <c r="I393" s="131">
        <f t="shared" si="25"/>
        <v>1354.86</v>
      </c>
      <c r="J393" s="164">
        <v>1354.86</v>
      </c>
      <c r="K393" s="186"/>
      <c r="L393" s="186"/>
    </row>
    <row r="394" spans="2:12" ht="24" outlineLevel="1" x14ac:dyDescent="0.2">
      <c r="B394" s="184" t="s">
        <v>641</v>
      </c>
      <c r="C394" s="330">
        <v>43374</v>
      </c>
      <c r="D394" s="329">
        <v>43511</v>
      </c>
      <c r="E394" s="283">
        <v>10</v>
      </c>
      <c r="F394" s="239">
        <v>1354.86</v>
      </c>
      <c r="G394" s="239"/>
      <c r="H394" s="239">
        <v>0</v>
      </c>
      <c r="I394" s="131">
        <f t="shared" si="25"/>
        <v>1354.86</v>
      </c>
      <c r="J394" s="164">
        <v>1354.86</v>
      </c>
      <c r="K394" s="186"/>
      <c r="L394" s="186"/>
    </row>
    <row r="395" spans="2:12" ht="24" outlineLevel="1" x14ac:dyDescent="0.2">
      <c r="B395" s="184" t="s">
        <v>642</v>
      </c>
      <c r="C395" s="330">
        <v>43374</v>
      </c>
      <c r="D395" s="329">
        <v>43592</v>
      </c>
      <c r="E395" s="283">
        <v>10</v>
      </c>
      <c r="F395" s="239">
        <v>7162.64</v>
      </c>
      <c r="G395" s="239"/>
      <c r="H395" s="239">
        <v>0</v>
      </c>
      <c r="I395" s="131">
        <f t="shared" si="25"/>
        <v>7162.64</v>
      </c>
      <c r="J395" s="164">
        <v>7162.64</v>
      </c>
      <c r="K395" s="186"/>
      <c r="L395" s="186"/>
    </row>
    <row r="396" spans="2:12" ht="24" outlineLevel="1" x14ac:dyDescent="0.2">
      <c r="B396" s="184" t="s">
        <v>643</v>
      </c>
      <c r="C396" s="330">
        <v>43435</v>
      </c>
      <c r="D396" s="329">
        <v>43528</v>
      </c>
      <c r="E396" s="283">
        <v>10</v>
      </c>
      <c r="F396" s="239">
        <v>1857.68</v>
      </c>
      <c r="G396" s="239"/>
      <c r="H396" s="239">
        <v>0</v>
      </c>
      <c r="I396" s="131">
        <f t="shared" si="25"/>
        <v>1857.68</v>
      </c>
      <c r="J396" s="164">
        <v>1857.68</v>
      </c>
      <c r="K396" s="186"/>
      <c r="L396" s="186"/>
    </row>
    <row r="397" spans="2:12" ht="24" outlineLevel="1" x14ac:dyDescent="0.2">
      <c r="B397" s="184" t="s">
        <v>344</v>
      </c>
      <c r="C397" s="330">
        <v>43282</v>
      </c>
      <c r="D397" s="329">
        <v>43635</v>
      </c>
      <c r="E397" s="283">
        <v>10</v>
      </c>
      <c r="F397" s="239">
        <v>2794.18</v>
      </c>
      <c r="G397" s="239"/>
      <c r="H397" s="239">
        <v>0</v>
      </c>
      <c r="I397" s="131">
        <f t="shared" si="25"/>
        <v>2794.18</v>
      </c>
      <c r="J397" s="164">
        <v>2794.18</v>
      </c>
      <c r="K397" s="186"/>
      <c r="L397" s="186"/>
    </row>
    <row r="398" spans="2:12" outlineLevel="1" x14ac:dyDescent="0.2">
      <c r="B398" s="184" t="s">
        <v>644</v>
      </c>
      <c r="C398" s="330">
        <v>43435</v>
      </c>
      <c r="D398" s="329">
        <v>43612</v>
      </c>
      <c r="E398" s="283">
        <v>10</v>
      </c>
      <c r="F398" s="239">
        <v>5630.89</v>
      </c>
      <c r="G398" s="239"/>
      <c r="H398" s="239">
        <v>0</v>
      </c>
      <c r="I398" s="131">
        <f t="shared" si="25"/>
        <v>5630.89</v>
      </c>
      <c r="J398" s="164">
        <v>5630.89</v>
      </c>
      <c r="K398" s="186"/>
      <c r="L398" s="186"/>
    </row>
    <row r="399" spans="2:12" ht="24" outlineLevel="1" x14ac:dyDescent="0.2">
      <c r="B399" s="184" t="s">
        <v>645</v>
      </c>
      <c r="C399" s="330">
        <v>43405</v>
      </c>
      <c r="D399" s="329">
        <v>43581</v>
      </c>
      <c r="E399" s="283">
        <v>10</v>
      </c>
      <c r="F399" s="239">
        <v>1423.87</v>
      </c>
      <c r="G399" s="239"/>
      <c r="H399" s="239">
        <v>0</v>
      </c>
      <c r="I399" s="131">
        <f t="shared" si="25"/>
        <v>1423.87</v>
      </c>
      <c r="J399" s="164">
        <v>1423.87</v>
      </c>
      <c r="K399" s="186"/>
      <c r="L399" s="186"/>
    </row>
    <row r="400" spans="2:12" outlineLevel="1" x14ac:dyDescent="0.2">
      <c r="B400" s="184" t="s">
        <v>646</v>
      </c>
      <c r="C400" s="330">
        <v>43405</v>
      </c>
      <c r="D400" s="329">
        <v>43524</v>
      </c>
      <c r="E400" s="283">
        <v>10</v>
      </c>
      <c r="F400" s="239">
        <v>5773.68</v>
      </c>
      <c r="G400" s="239"/>
      <c r="H400" s="239">
        <v>0</v>
      </c>
      <c r="I400" s="131">
        <f t="shared" si="25"/>
        <v>5773.68</v>
      </c>
      <c r="J400" s="164">
        <v>5773.68</v>
      </c>
      <c r="K400" s="186"/>
      <c r="L400" s="186"/>
    </row>
    <row r="401" spans="2:12" ht="24" outlineLevel="1" x14ac:dyDescent="0.2">
      <c r="B401" s="184" t="s">
        <v>647</v>
      </c>
      <c r="C401" s="336"/>
      <c r="D401" s="329">
        <v>43602</v>
      </c>
      <c r="E401" s="283">
        <v>10</v>
      </c>
      <c r="F401" s="239">
        <v>1423.87</v>
      </c>
      <c r="G401" s="239"/>
      <c r="H401" s="239">
        <v>0</v>
      </c>
      <c r="I401" s="131">
        <f t="shared" si="25"/>
        <v>1423.87</v>
      </c>
      <c r="J401" s="164">
        <v>1423.87</v>
      </c>
      <c r="K401" s="186"/>
      <c r="L401" s="186"/>
    </row>
    <row r="402" spans="2:12" ht="24" outlineLevel="1" x14ac:dyDescent="0.2">
      <c r="B402" s="184" t="s">
        <v>648</v>
      </c>
      <c r="C402" s="330">
        <v>43435</v>
      </c>
      <c r="D402" s="329">
        <v>43598</v>
      </c>
      <c r="E402" s="283">
        <v>10</v>
      </c>
      <c r="F402" s="239">
        <v>1857.67</v>
      </c>
      <c r="G402" s="239"/>
      <c r="H402" s="239">
        <v>0</v>
      </c>
      <c r="I402" s="131">
        <f t="shared" si="25"/>
        <v>1857.67</v>
      </c>
      <c r="J402" s="164">
        <v>1857.67</v>
      </c>
      <c r="K402" s="186"/>
      <c r="L402" s="186"/>
    </row>
    <row r="403" spans="2:12" outlineLevel="1" x14ac:dyDescent="0.2">
      <c r="B403" s="184" t="s">
        <v>259</v>
      </c>
      <c r="C403" s="330">
        <v>43221</v>
      </c>
      <c r="D403" s="329">
        <v>43598</v>
      </c>
      <c r="E403" s="283">
        <v>10</v>
      </c>
      <c r="F403" s="239">
        <v>1655.72</v>
      </c>
      <c r="G403" s="239"/>
      <c r="H403" s="239">
        <v>0</v>
      </c>
      <c r="I403" s="131">
        <f t="shared" si="25"/>
        <v>1655.72</v>
      </c>
      <c r="J403" s="164">
        <v>1655.72</v>
      </c>
      <c r="K403" s="186"/>
      <c r="L403" s="186"/>
    </row>
    <row r="404" spans="2:12" ht="24" outlineLevel="1" x14ac:dyDescent="0.2">
      <c r="B404" s="184" t="s">
        <v>37</v>
      </c>
      <c r="C404" s="330">
        <v>43282</v>
      </c>
      <c r="D404" s="329">
        <v>43500</v>
      </c>
      <c r="E404" s="283">
        <v>10</v>
      </c>
      <c r="F404" s="239">
        <v>1409.16</v>
      </c>
      <c r="G404" s="239"/>
      <c r="H404" s="239">
        <v>0</v>
      </c>
      <c r="I404" s="131">
        <f t="shared" si="25"/>
        <v>1409.16</v>
      </c>
      <c r="J404" s="164">
        <v>1409.16</v>
      </c>
      <c r="K404" s="186"/>
      <c r="L404" s="186"/>
    </row>
    <row r="405" spans="2:12" outlineLevel="1" x14ac:dyDescent="0.2">
      <c r="B405" s="184" t="s">
        <v>345</v>
      </c>
      <c r="C405" s="330">
        <v>43344</v>
      </c>
      <c r="D405" s="329">
        <v>43484</v>
      </c>
      <c r="E405" s="283">
        <v>10</v>
      </c>
      <c r="F405" s="239">
        <v>2124.2800000000002</v>
      </c>
      <c r="G405" s="239"/>
      <c r="H405" s="239">
        <v>0</v>
      </c>
      <c r="I405" s="131">
        <f t="shared" si="25"/>
        <v>2124.2800000000002</v>
      </c>
      <c r="J405" s="164">
        <v>2124.2800000000002</v>
      </c>
      <c r="K405" s="186"/>
      <c r="L405" s="186"/>
    </row>
    <row r="406" spans="2:12" ht="24" outlineLevel="1" x14ac:dyDescent="0.2">
      <c r="B406" s="184" t="s">
        <v>346</v>
      </c>
      <c r="C406" s="330">
        <v>43282</v>
      </c>
      <c r="D406" s="329">
        <v>43665</v>
      </c>
      <c r="E406" s="283">
        <v>10</v>
      </c>
      <c r="F406" s="239">
        <v>16370.29</v>
      </c>
      <c r="G406" s="239"/>
      <c r="H406" s="239">
        <v>0</v>
      </c>
      <c r="I406" s="131">
        <f t="shared" si="25"/>
        <v>16370.29</v>
      </c>
      <c r="J406" s="164">
        <v>16370.29</v>
      </c>
      <c r="K406" s="186"/>
      <c r="L406" s="186"/>
    </row>
    <row r="407" spans="2:12" outlineLevel="1" x14ac:dyDescent="0.2">
      <c r="B407" s="184" t="s">
        <v>141</v>
      </c>
      <c r="C407" s="330">
        <v>43132</v>
      </c>
      <c r="D407" s="329">
        <v>43507</v>
      </c>
      <c r="E407" s="283">
        <v>10</v>
      </c>
      <c r="F407" s="239">
        <v>3970.48</v>
      </c>
      <c r="G407" s="239"/>
      <c r="H407" s="239">
        <v>0</v>
      </c>
      <c r="I407" s="131">
        <f t="shared" si="25"/>
        <v>3970.48</v>
      </c>
      <c r="J407" s="164">
        <v>3970.48</v>
      </c>
      <c r="K407" s="186"/>
      <c r="L407" s="186"/>
    </row>
    <row r="408" spans="2:12" outlineLevel="1" x14ac:dyDescent="0.2">
      <c r="B408" s="184" t="s">
        <v>347</v>
      </c>
      <c r="C408" s="330">
        <v>43282</v>
      </c>
      <c r="D408" s="329">
        <v>43591</v>
      </c>
      <c r="E408" s="283">
        <v>80</v>
      </c>
      <c r="F408" s="239">
        <v>5779.41</v>
      </c>
      <c r="G408" s="239">
        <v>99304.78</v>
      </c>
      <c r="H408" s="239">
        <v>0</v>
      </c>
      <c r="I408" s="131">
        <f t="shared" si="25"/>
        <v>105084.19</v>
      </c>
      <c r="J408" s="164">
        <v>105084.19</v>
      </c>
      <c r="K408" s="186"/>
      <c r="L408" s="186"/>
    </row>
    <row r="409" spans="2:12" ht="24" outlineLevel="1" x14ac:dyDescent="0.2">
      <c r="B409" s="184" t="s">
        <v>649</v>
      </c>
      <c r="C409" s="330">
        <v>43435</v>
      </c>
      <c r="D409" s="329">
        <v>43549</v>
      </c>
      <c r="E409" s="283">
        <v>10</v>
      </c>
      <c r="F409" s="239">
        <v>1857.67</v>
      </c>
      <c r="G409" s="239"/>
      <c r="H409" s="239">
        <v>0</v>
      </c>
      <c r="I409" s="131">
        <f t="shared" si="25"/>
        <v>1857.67</v>
      </c>
      <c r="J409" s="164">
        <v>1857.67</v>
      </c>
      <c r="K409" s="186"/>
      <c r="L409" s="186"/>
    </row>
    <row r="410" spans="2:12" ht="36" outlineLevel="1" x14ac:dyDescent="0.2">
      <c r="B410" s="184" t="s">
        <v>650</v>
      </c>
      <c r="C410" s="330">
        <v>43405</v>
      </c>
      <c r="D410" s="329">
        <v>43546</v>
      </c>
      <c r="E410" s="283">
        <v>10</v>
      </c>
      <c r="F410" s="239">
        <v>1234.52</v>
      </c>
      <c r="G410" s="239"/>
      <c r="H410" s="239">
        <v>0</v>
      </c>
      <c r="I410" s="131">
        <f t="shared" si="25"/>
        <v>1234.52</v>
      </c>
      <c r="J410" s="164">
        <v>1234.52</v>
      </c>
      <c r="K410" s="186"/>
      <c r="L410" s="186"/>
    </row>
    <row r="411" spans="2:12" ht="36" outlineLevel="1" x14ac:dyDescent="0.2">
      <c r="B411" s="184" t="s">
        <v>142</v>
      </c>
      <c r="C411" s="330">
        <v>43344</v>
      </c>
      <c r="D411" s="329">
        <v>43581</v>
      </c>
      <c r="E411" s="283">
        <v>10</v>
      </c>
      <c r="F411" s="239">
        <v>2854.52</v>
      </c>
      <c r="G411" s="239"/>
      <c r="H411" s="239">
        <v>0</v>
      </c>
      <c r="I411" s="131">
        <f t="shared" si="25"/>
        <v>2854.52</v>
      </c>
      <c r="J411" s="164">
        <v>2854.52</v>
      </c>
      <c r="K411" s="186"/>
      <c r="L411" s="186"/>
    </row>
    <row r="412" spans="2:12" ht="24" outlineLevel="1" x14ac:dyDescent="0.2">
      <c r="B412" s="184" t="s">
        <v>651</v>
      </c>
      <c r="C412" s="330">
        <v>43405</v>
      </c>
      <c r="D412" s="329">
        <v>43621</v>
      </c>
      <c r="E412" s="283">
        <v>10</v>
      </c>
      <c r="F412" s="239">
        <v>1423.87</v>
      </c>
      <c r="G412" s="239"/>
      <c r="H412" s="239">
        <v>0</v>
      </c>
      <c r="I412" s="131">
        <f t="shared" si="25"/>
        <v>1423.87</v>
      </c>
      <c r="J412" s="164">
        <v>1423.87</v>
      </c>
      <c r="K412" s="186"/>
      <c r="L412" s="186"/>
    </row>
    <row r="413" spans="2:12" ht="24" outlineLevel="1" x14ac:dyDescent="0.2">
      <c r="B413" s="184" t="s">
        <v>348</v>
      </c>
      <c r="C413" s="330">
        <v>43313</v>
      </c>
      <c r="D413" s="329">
        <v>43549</v>
      </c>
      <c r="E413" s="283">
        <v>10</v>
      </c>
      <c r="F413" s="239">
        <v>1593.55</v>
      </c>
      <c r="G413" s="239"/>
      <c r="H413" s="239">
        <v>0</v>
      </c>
      <c r="I413" s="131">
        <f t="shared" si="25"/>
        <v>1593.55</v>
      </c>
      <c r="J413" s="164">
        <v>1593.55</v>
      </c>
      <c r="K413" s="186"/>
      <c r="L413" s="186"/>
    </row>
    <row r="414" spans="2:12" ht="36" outlineLevel="1" x14ac:dyDescent="0.2">
      <c r="B414" s="184" t="s">
        <v>143</v>
      </c>
      <c r="C414" s="330">
        <v>43160</v>
      </c>
      <c r="D414" s="329">
        <v>44031</v>
      </c>
      <c r="E414" s="283">
        <v>80</v>
      </c>
      <c r="F414" s="239">
        <v>1733.63</v>
      </c>
      <c r="G414" s="239">
        <v>27280.43</v>
      </c>
      <c r="H414" s="239">
        <v>0</v>
      </c>
      <c r="I414" s="131">
        <f t="shared" si="25"/>
        <v>29014.06</v>
      </c>
      <c r="J414" s="164">
        <v>29014.06</v>
      </c>
      <c r="K414" s="186"/>
      <c r="L414" s="186"/>
    </row>
    <row r="415" spans="2:12" ht="24" outlineLevel="1" x14ac:dyDescent="0.2">
      <c r="B415" s="184" t="s">
        <v>652</v>
      </c>
      <c r="C415" s="330">
        <v>43405</v>
      </c>
      <c r="D415" s="329">
        <v>43588</v>
      </c>
      <c r="E415" s="283">
        <v>10</v>
      </c>
      <c r="F415" s="239">
        <v>1234.52</v>
      </c>
      <c r="G415" s="239"/>
      <c r="H415" s="239">
        <v>0</v>
      </c>
      <c r="I415" s="131">
        <f t="shared" si="25"/>
        <v>1234.52</v>
      </c>
      <c r="J415" s="164">
        <v>1234.52</v>
      </c>
      <c r="K415" s="186"/>
      <c r="L415" s="186"/>
    </row>
    <row r="416" spans="2:12" x14ac:dyDescent="0.2">
      <c r="B416" s="187"/>
      <c r="C416" s="330"/>
      <c r="D416" s="283"/>
      <c r="E416" s="283"/>
      <c r="F416" s="239"/>
      <c r="G416" s="239"/>
      <c r="H416" s="239"/>
      <c r="I416" s="131"/>
      <c r="J416" s="131"/>
      <c r="K416" s="186"/>
      <c r="L416" s="186"/>
    </row>
    <row r="417" spans="2:12" x14ac:dyDescent="0.2">
      <c r="B417" s="187"/>
      <c r="C417" s="283"/>
      <c r="D417" s="283"/>
      <c r="E417" s="283"/>
      <c r="F417" s="181">
        <f>SUM(F372:F416)</f>
        <v>261524.71999999994</v>
      </c>
      <c r="G417" s="181">
        <f>SUM(G372:G416)</f>
        <v>175469.77</v>
      </c>
      <c r="H417" s="181">
        <f>SUM(H416)</f>
        <v>0</v>
      </c>
      <c r="I417" s="131">
        <f>F417+G417+H417</f>
        <v>436994.48999999993</v>
      </c>
      <c r="J417" s="131">
        <f>SUM(J372:J416)</f>
        <v>436994.48999999987</v>
      </c>
      <c r="K417" s="186"/>
      <c r="L417" s="186"/>
    </row>
    <row r="418" spans="2:12" ht="24" x14ac:dyDescent="0.2">
      <c r="B418" s="50" t="s">
        <v>440</v>
      </c>
      <c r="C418" s="343"/>
      <c r="D418" s="344"/>
      <c r="E418" s="345"/>
      <c r="F418" s="196"/>
      <c r="G418" s="240"/>
      <c r="H418" s="134"/>
      <c r="I418" s="133"/>
      <c r="J418" s="284"/>
      <c r="K418" s="188"/>
      <c r="L418" s="188"/>
    </row>
    <row r="419" spans="2:12" outlineLevel="1" x14ac:dyDescent="0.2">
      <c r="B419" s="189" t="s">
        <v>653</v>
      </c>
      <c r="C419" s="343">
        <v>43313</v>
      </c>
      <c r="D419" s="346">
        <v>43830</v>
      </c>
      <c r="E419" s="347">
        <v>10</v>
      </c>
      <c r="F419" s="134"/>
      <c r="G419" s="134">
        <v>3014.58</v>
      </c>
      <c r="H419" s="285">
        <v>0</v>
      </c>
      <c r="I419" s="134">
        <v>3014.58</v>
      </c>
      <c r="J419" s="134">
        <v>3014.58</v>
      </c>
      <c r="K419" s="14"/>
      <c r="L419" s="14"/>
    </row>
    <row r="420" spans="2:12" outlineLevel="1" x14ac:dyDescent="0.2">
      <c r="B420" s="189" t="s">
        <v>654</v>
      </c>
      <c r="C420" s="343">
        <v>43313</v>
      </c>
      <c r="D420" s="346">
        <v>43830</v>
      </c>
      <c r="E420" s="347">
        <v>10</v>
      </c>
      <c r="F420" s="134"/>
      <c r="G420" s="134">
        <v>19452.55</v>
      </c>
      <c r="H420" s="285">
        <v>0</v>
      </c>
      <c r="I420" s="134">
        <v>19452.55</v>
      </c>
      <c r="J420" s="134">
        <v>19452.55</v>
      </c>
      <c r="K420" s="14"/>
      <c r="L420" s="14"/>
    </row>
    <row r="421" spans="2:12" outlineLevel="1" x14ac:dyDescent="0.2">
      <c r="B421" s="189" t="s">
        <v>441</v>
      </c>
      <c r="C421" s="343">
        <v>43313</v>
      </c>
      <c r="D421" s="346">
        <v>43830</v>
      </c>
      <c r="E421" s="347">
        <v>10</v>
      </c>
      <c r="F421" s="134"/>
      <c r="G421" s="134">
        <v>7586.98</v>
      </c>
      <c r="H421" s="285">
        <v>0</v>
      </c>
      <c r="I421" s="134">
        <v>7586.98</v>
      </c>
      <c r="J421" s="134">
        <v>7586.98</v>
      </c>
      <c r="K421" s="14"/>
      <c r="L421" s="14"/>
    </row>
    <row r="422" spans="2:12" outlineLevel="1" x14ac:dyDescent="0.2">
      <c r="B422" s="189" t="s">
        <v>442</v>
      </c>
      <c r="C422" s="343">
        <v>43313</v>
      </c>
      <c r="D422" s="346">
        <v>43830</v>
      </c>
      <c r="E422" s="347">
        <v>10</v>
      </c>
      <c r="F422" s="134"/>
      <c r="G422" s="134"/>
      <c r="H422" s="285">
        <v>0</v>
      </c>
      <c r="I422" s="134"/>
      <c r="J422" s="134"/>
      <c r="K422" s="14"/>
      <c r="L422" s="14"/>
    </row>
    <row r="423" spans="2:12" ht="24" outlineLevel="1" x14ac:dyDescent="0.2">
      <c r="B423" s="189" t="s">
        <v>443</v>
      </c>
      <c r="C423" s="343">
        <v>43313</v>
      </c>
      <c r="D423" s="346">
        <v>43830</v>
      </c>
      <c r="E423" s="347">
        <v>10</v>
      </c>
      <c r="F423" s="134"/>
      <c r="G423" s="134">
        <v>2338.6799999999998</v>
      </c>
      <c r="H423" s="285">
        <v>0</v>
      </c>
      <c r="I423" s="134">
        <v>2338.6799999999998</v>
      </c>
      <c r="J423" s="134">
        <v>2338.6799999999998</v>
      </c>
      <c r="K423" s="14"/>
      <c r="L423" s="14"/>
    </row>
    <row r="424" spans="2:12" outlineLevel="1" x14ac:dyDescent="0.2">
      <c r="B424" s="189" t="s">
        <v>444</v>
      </c>
      <c r="C424" s="343">
        <v>43344</v>
      </c>
      <c r="D424" s="346">
        <v>43830</v>
      </c>
      <c r="E424" s="347">
        <v>10</v>
      </c>
      <c r="F424" s="134"/>
      <c r="G424" s="134"/>
      <c r="H424" s="285">
        <v>0</v>
      </c>
      <c r="I424" s="134"/>
      <c r="J424" s="134"/>
      <c r="K424" s="14"/>
      <c r="L424" s="14"/>
    </row>
    <row r="425" spans="2:12" outlineLevel="1" x14ac:dyDescent="0.2">
      <c r="B425" s="189" t="s">
        <v>445</v>
      </c>
      <c r="C425" s="343">
        <v>43313</v>
      </c>
      <c r="D425" s="346">
        <v>43830</v>
      </c>
      <c r="E425" s="347">
        <v>10</v>
      </c>
      <c r="F425" s="134"/>
      <c r="G425" s="134">
        <v>4796.41</v>
      </c>
      <c r="H425" s="285">
        <v>0</v>
      </c>
      <c r="I425" s="134">
        <v>4796.41</v>
      </c>
      <c r="J425" s="134">
        <v>4796.41</v>
      </c>
      <c r="K425" s="14"/>
      <c r="L425" s="14"/>
    </row>
    <row r="426" spans="2:12" x14ac:dyDescent="0.2">
      <c r="B426" s="48"/>
      <c r="C426" s="346"/>
      <c r="D426" s="346"/>
      <c r="E426" s="347"/>
      <c r="F426" s="286">
        <f>SUM(F418:F425)</f>
        <v>0</v>
      </c>
      <c r="G426" s="286">
        <f>SUM(G418:G425)</f>
        <v>37189.199999999997</v>
      </c>
      <c r="H426" s="286">
        <f>SUM(H418:H425)</f>
        <v>0</v>
      </c>
      <c r="I426" s="190">
        <f>SUM(I418:I425)</f>
        <v>37189.199999999997</v>
      </c>
      <c r="J426" s="190">
        <f>SUM(J418:J425)</f>
        <v>37189.199999999997</v>
      </c>
      <c r="K426" s="14"/>
      <c r="L426" s="14"/>
    </row>
    <row r="427" spans="2:12" x14ac:dyDescent="0.2">
      <c r="B427" s="34"/>
      <c r="C427" s="348"/>
      <c r="D427" s="349"/>
      <c r="E427" s="350"/>
      <c r="F427" s="287"/>
      <c r="G427" s="287"/>
      <c r="H427" s="241"/>
      <c r="I427" s="135"/>
      <c r="J427" s="288"/>
      <c r="K427" s="14"/>
      <c r="L427" s="14"/>
    </row>
    <row r="428" spans="2:12" ht="24" x14ac:dyDescent="0.2">
      <c r="B428" s="50" t="s">
        <v>655</v>
      </c>
      <c r="C428" s="315"/>
      <c r="D428" s="314"/>
      <c r="E428" s="351"/>
      <c r="F428" s="138"/>
      <c r="G428" s="138"/>
      <c r="H428" s="241"/>
      <c r="I428" s="136"/>
      <c r="J428" s="130"/>
      <c r="K428" s="14"/>
      <c r="L428" s="14"/>
    </row>
    <row r="429" spans="2:12" ht="21.75" customHeight="1" outlineLevel="1" x14ac:dyDescent="0.2">
      <c r="B429" s="51" t="s">
        <v>656</v>
      </c>
      <c r="C429" s="315">
        <v>43435</v>
      </c>
      <c r="D429" s="314">
        <v>43646</v>
      </c>
      <c r="E429" s="351">
        <v>10</v>
      </c>
      <c r="F429" s="191">
        <v>6395</v>
      </c>
      <c r="G429" s="241"/>
      <c r="H429" s="242"/>
      <c r="I429" s="130">
        <f t="shared" ref="I429:I461" si="26">F429+G429+H429</f>
        <v>6395</v>
      </c>
      <c r="J429" s="130">
        <v>6395</v>
      </c>
      <c r="K429" s="14"/>
      <c r="L429" s="14"/>
    </row>
    <row r="430" spans="2:12" ht="25.5" customHeight="1" outlineLevel="1" x14ac:dyDescent="0.2">
      <c r="B430" s="51" t="s">
        <v>657</v>
      </c>
      <c r="C430" s="315">
        <v>43435</v>
      </c>
      <c r="D430" s="314">
        <v>43646</v>
      </c>
      <c r="E430" s="351">
        <v>10</v>
      </c>
      <c r="F430" s="191"/>
      <c r="G430" s="191">
        <v>10160.299999999999</v>
      </c>
      <c r="H430" s="242"/>
      <c r="I430" s="130">
        <f t="shared" si="26"/>
        <v>10160.299999999999</v>
      </c>
      <c r="J430" s="130">
        <v>10160.299999999999</v>
      </c>
      <c r="K430" s="14"/>
      <c r="L430" s="14"/>
    </row>
    <row r="431" spans="2:12" ht="24.75" customHeight="1" outlineLevel="1" x14ac:dyDescent="0.2">
      <c r="B431" s="51" t="s">
        <v>658</v>
      </c>
      <c r="C431" s="315">
        <v>43435</v>
      </c>
      <c r="D431" s="314">
        <v>43646</v>
      </c>
      <c r="E431" s="351">
        <v>10</v>
      </c>
      <c r="F431" s="191"/>
      <c r="G431" s="191">
        <v>30112.45</v>
      </c>
      <c r="H431" s="242"/>
      <c r="I431" s="130">
        <f t="shared" si="26"/>
        <v>30112.45</v>
      </c>
      <c r="J431" s="130">
        <v>30112.45</v>
      </c>
      <c r="K431" s="14"/>
      <c r="L431" s="14"/>
    </row>
    <row r="432" spans="2:12" ht="21" customHeight="1" outlineLevel="1" x14ac:dyDescent="0.2">
      <c r="B432" s="51" t="s">
        <v>659</v>
      </c>
      <c r="C432" s="315">
        <v>43435</v>
      </c>
      <c r="D432" s="314">
        <v>43646</v>
      </c>
      <c r="E432" s="351">
        <v>10</v>
      </c>
      <c r="F432" s="191">
        <v>18402</v>
      </c>
      <c r="G432" s="191"/>
      <c r="H432" s="242"/>
      <c r="I432" s="130">
        <f t="shared" si="26"/>
        <v>18402</v>
      </c>
      <c r="J432" s="130">
        <v>18402</v>
      </c>
      <c r="K432" s="14"/>
      <c r="L432" s="14"/>
    </row>
    <row r="433" spans="2:12" ht="20.25" customHeight="1" outlineLevel="1" x14ac:dyDescent="0.2">
      <c r="B433" s="51" t="s">
        <v>660</v>
      </c>
      <c r="C433" s="315">
        <v>43343</v>
      </c>
      <c r="D433" s="314">
        <v>43555</v>
      </c>
      <c r="E433" s="351">
        <v>40</v>
      </c>
      <c r="F433" s="191">
        <v>6395</v>
      </c>
      <c r="G433" s="191"/>
      <c r="H433" s="242"/>
      <c r="I433" s="130">
        <f t="shared" si="26"/>
        <v>6395</v>
      </c>
      <c r="J433" s="130">
        <v>6395</v>
      </c>
      <c r="K433" s="14"/>
      <c r="L433" s="14"/>
    </row>
    <row r="434" spans="2:12" ht="26.25" customHeight="1" outlineLevel="1" x14ac:dyDescent="0.2">
      <c r="B434" s="51" t="s">
        <v>661</v>
      </c>
      <c r="C434" s="315">
        <v>43343</v>
      </c>
      <c r="D434" s="314">
        <v>43555</v>
      </c>
      <c r="E434" s="351">
        <v>40</v>
      </c>
      <c r="F434" s="191">
        <v>10612</v>
      </c>
      <c r="G434" s="191"/>
      <c r="H434" s="242"/>
      <c r="I434" s="130">
        <f t="shared" si="26"/>
        <v>10612</v>
      </c>
      <c r="J434" s="130">
        <v>10612</v>
      </c>
      <c r="K434" s="14"/>
      <c r="L434" s="14"/>
    </row>
    <row r="435" spans="2:12" ht="24" customHeight="1" outlineLevel="1" x14ac:dyDescent="0.2">
      <c r="B435" s="51" t="s">
        <v>662</v>
      </c>
      <c r="C435" s="315">
        <v>43435</v>
      </c>
      <c r="D435" s="314">
        <v>43646</v>
      </c>
      <c r="E435" s="351">
        <v>10</v>
      </c>
      <c r="F435" s="191"/>
      <c r="G435" s="191">
        <v>20129.55</v>
      </c>
      <c r="H435" s="242"/>
      <c r="I435" s="130">
        <f t="shared" si="26"/>
        <v>20129.55</v>
      </c>
      <c r="J435" s="130">
        <v>20129.55</v>
      </c>
      <c r="K435" s="14"/>
      <c r="L435" s="14"/>
    </row>
    <row r="436" spans="2:12" ht="18.75" customHeight="1" outlineLevel="1" x14ac:dyDescent="0.2">
      <c r="B436" s="51" t="s">
        <v>663</v>
      </c>
      <c r="C436" s="315">
        <v>43435</v>
      </c>
      <c r="D436" s="314">
        <v>43646</v>
      </c>
      <c r="E436" s="351">
        <v>10</v>
      </c>
      <c r="F436" s="191">
        <v>6395</v>
      </c>
      <c r="G436" s="191">
        <v>86977.79</v>
      </c>
      <c r="H436" s="242"/>
      <c r="I436" s="130">
        <f t="shared" si="26"/>
        <v>93372.79</v>
      </c>
      <c r="J436" s="130">
        <v>93372.79</v>
      </c>
      <c r="K436" s="14"/>
      <c r="L436" s="14"/>
    </row>
    <row r="437" spans="2:12" ht="21" customHeight="1" outlineLevel="1" x14ac:dyDescent="0.2">
      <c r="B437" s="51" t="s">
        <v>664</v>
      </c>
      <c r="C437" s="315">
        <v>43435</v>
      </c>
      <c r="D437" s="314">
        <v>43646</v>
      </c>
      <c r="E437" s="351">
        <v>10</v>
      </c>
      <c r="F437" s="191"/>
      <c r="G437" s="191">
        <v>28734.55</v>
      </c>
      <c r="H437" s="242"/>
      <c r="I437" s="130">
        <f t="shared" si="26"/>
        <v>28734.55</v>
      </c>
      <c r="J437" s="130">
        <v>28734.55</v>
      </c>
      <c r="K437" s="14"/>
      <c r="L437" s="14"/>
    </row>
    <row r="438" spans="2:12" ht="30.75" customHeight="1" outlineLevel="1" x14ac:dyDescent="0.2">
      <c r="B438" s="51" t="s">
        <v>665</v>
      </c>
      <c r="C438" s="315">
        <v>43321</v>
      </c>
      <c r="D438" s="314">
        <v>43646</v>
      </c>
      <c r="E438" s="351">
        <v>20</v>
      </c>
      <c r="F438" s="191">
        <v>45000</v>
      </c>
      <c r="G438" s="191"/>
      <c r="H438" s="242"/>
      <c r="I438" s="130">
        <f t="shared" si="26"/>
        <v>45000</v>
      </c>
      <c r="J438" s="130">
        <v>45000</v>
      </c>
      <c r="K438" s="14"/>
      <c r="L438" s="14"/>
    </row>
    <row r="439" spans="2:12" ht="18.75" customHeight="1" outlineLevel="1" x14ac:dyDescent="0.2">
      <c r="B439" s="51" t="s">
        <v>666</v>
      </c>
      <c r="C439" s="315">
        <v>43343</v>
      </c>
      <c r="D439" s="314">
        <v>43555</v>
      </c>
      <c r="E439" s="351">
        <v>40</v>
      </c>
      <c r="F439" s="191">
        <v>10612</v>
      </c>
      <c r="G439" s="191"/>
      <c r="H439" s="242"/>
      <c r="I439" s="130">
        <f t="shared" si="26"/>
        <v>10612</v>
      </c>
      <c r="J439" s="130">
        <v>10612</v>
      </c>
      <c r="K439" s="14"/>
      <c r="L439" s="14"/>
    </row>
    <row r="440" spans="2:12" ht="21" customHeight="1" outlineLevel="1" x14ac:dyDescent="0.2">
      <c r="B440" s="51" t="s">
        <v>667</v>
      </c>
      <c r="C440" s="315">
        <v>43259</v>
      </c>
      <c r="D440" s="314">
        <v>43555</v>
      </c>
      <c r="E440" s="352">
        <v>40</v>
      </c>
      <c r="F440" s="191"/>
      <c r="G440" s="191">
        <v>4020</v>
      </c>
      <c r="H440" s="242"/>
      <c r="I440" s="130">
        <f t="shared" si="26"/>
        <v>4020</v>
      </c>
      <c r="J440" s="130">
        <v>4020</v>
      </c>
      <c r="K440" s="14"/>
      <c r="L440" s="14"/>
    </row>
    <row r="441" spans="2:12" ht="33" customHeight="1" outlineLevel="1" x14ac:dyDescent="0.2">
      <c r="B441" s="51" t="s">
        <v>668</v>
      </c>
      <c r="C441" s="315">
        <v>43435</v>
      </c>
      <c r="D441" s="314">
        <v>43646</v>
      </c>
      <c r="E441" s="351">
        <v>10</v>
      </c>
      <c r="F441" s="191"/>
      <c r="G441" s="191">
        <v>4879</v>
      </c>
      <c r="H441" s="242"/>
      <c r="I441" s="130">
        <f t="shared" si="26"/>
        <v>4879</v>
      </c>
      <c r="J441" s="130">
        <v>4879</v>
      </c>
      <c r="K441" s="14"/>
      <c r="L441" s="14"/>
    </row>
    <row r="442" spans="2:12" ht="21" customHeight="1" outlineLevel="1" x14ac:dyDescent="0.2">
      <c r="B442" s="51" t="s">
        <v>669</v>
      </c>
      <c r="C442" s="315">
        <v>43435</v>
      </c>
      <c r="D442" s="314">
        <v>43646</v>
      </c>
      <c r="E442" s="351">
        <v>10</v>
      </c>
      <c r="F442" s="191"/>
      <c r="G442" s="191">
        <v>17524</v>
      </c>
      <c r="H442" s="242"/>
      <c r="I442" s="130">
        <f t="shared" si="26"/>
        <v>17524</v>
      </c>
      <c r="J442" s="130">
        <v>17524</v>
      </c>
      <c r="K442" s="14"/>
      <c r="L442" s="14"/>
    </row>
    <row r="443" spans="2:12" ht="22.5" customHeight="1" outlineLevel="1" x14ac:dyDescent="0.2">
      <c r="B443" s="51" t="s">
        <v>670</v>
      </c>
      <c r="C443" s="315">
        <v>43435</v>
      </c>
      <c r="D443" s="314">
        <v>43646</v>
      </c>
      <c r="E443" s="351">
        <v>10</v>
      </c>
      <c r="F443" s="191">
        <v>6395</v>
      </c>
      <c r="G443" s="191"/>
      <c r="H443" s="242"/>
      <c r="I443" s="130">
        <f t="shared" si="26"/>
        <v>6395</v>
      </c>
      <c r="J443" s="130">
        <v>6395</v>
      </c>
      <c r="K443" s="14"/>
      <c r="L443" s="14"/>
    </row>
    <row r="444" spans="2:12" ht="31.5" customHeight="1" outlineLevel="1" x14ac:dyDescent="0.2">
      <c r="B444" s="51" t="s">
        <v>671</v>
      </c>
      <c r="C444" s="315">
        <v>43435</v>
      </c>
      <c r="D444" s="314">
        <v>43646</v>
      </c>
      <c r="E444" s="351">
        <v>10</v>
      </c>
      <c r="F444" s="191"/>
      <c r="G444" s="191">
        <v>235439.71</v>
      </c>
      <c r="H444" s="242"/>
      <c r="I444" s="130">
        <f t="shared" si="26"/>
        <v>235439.71</v>
      </c>
      <c r="J444" s="130">
        <v>235439.71</v>
      </c>
      <c r="K444" s="14"/>
      <c r="L444" s="14"/>
    </row>
    <row r="445" spans="2:12" ht="33" customHeight="1" outlineLevel="1" x14ac:dyDescent="0.2">
      <c r="B445" s="51" t="s">
        <v>672</v>
      </c>
      <c r="C445" s="315">
        <v>43435</v>
      </c>
      <c r="D445" s="314">
        <v>43646</v>
      </c>
      <c r="E445" s="351">
        <v>10</v>
      </c>
      <c r="F445" s="191"/>
      <c r="G445" s="191">
        <v>2778.93</v>
      </c>
      <c r="H445" s="242"/>
      <c r="I445" s="130">
        <f t="shared" si="26"/>
        <v>2778.93</v>
      </c>
      <c r="J445" s="130">
        <v>2778.93</v>
      </c>
      <c r="K445" s="14"/>
      <c r="L445" s="14"/>
    </row>
    <row r="446" spans="2:12" ht="35.25" customHeight="1" outlineLevel="1" x14ac:dyDescent="0.2">
      <c r="B446" s="51" t="s">
        <v>673</v>
      </c>
      <c r="C446" s="315">
        <v>43435</v>
      </c>
      <c r="D446" s="314">
        <v>43646</v>
      </c>
      <c r="E446" s="351">
        <v>10</v>
      </c>
      <c r="F446" s="191"/>
      <c r="G446" s="191">
        <v>30456.41</v>
      </c>
      <c r="H446" s="242"/>
      <c r="I446" s="130">
        <f t="shared" si="26"/>
        <v>30456.41</v>
      </c>
      <c r="J446" s="130">
        <v>30456.41</v>
      </c>
      <c r="K446" s="14"/>
      <c r="L446" s="14"/>
    </row>
    <row r="447" spans="2:12" ht="33" customHeight="1" outlineLevel="1" x14ac:dyDescent="0.2">
      <c r="B447" s="51" t="s">
        <v>674</v>
      </c>
      <c r="C447" s="315">
        <v>43435</v>
      </c>
      <c r="D447" s="314">
        <v>43646</v>
      </c>
      <c r="E447" s="351">
        <v>10</v>
      </c>
      <c r="F447" s="191"/>
      <c r="G447" s="191">
        <v>2219.11</v>
      </c>
      <c r="H447" s="242"/>
      <c r="I447" s="130">
        <f t="shared" si="26"/>
        <v>2219.11</v>
      </c>
      <c r="J447" s="130">
        <v>2219.11</v>
      </c>
      <c r="K447" s="14"/>
      <c r="L447" s="14"/>
    </row>
    <row r="448" spans="2:12" ht="27.75" customHeight="1" outlineLevel="1" x14ac:dyDescent="0.2">
      <c r="B448" s="51" t="s">
        <v>675</v>
      </c>
      <c r="C448" s="315">
        <v>43435</v>
      </c>
      <c r="D448" s="314">
        <v>43646</v>
      </c>
      <c r="E448" s="351">
        <v>10</v>
      </c>
      <c r="F448" s="191"/>
      <c r="G448" s="191">
        <v>23527.63</v>
      </c>
      <c r="H448" s="242"/>
      <c r="I448" s="130">
        <f t="shared" si="26"/>
        <v>23527.63</v>
      </c>
      <c r="J448" s="130">
        <v>23527.63</v>
      </c>
      <c r="K448" s="14"/>
      <c r="L448" s="14"/>
    </row>
    <row r="449" spans="2:12" ht="41.25" customHeight="1" outlineLevel="1" x14ac:dyDescent="0.2">
      <c r="B449" s="51" t="s">
        <v>676</v>
      </c>
      <c r="C449" s="315">
        <v>43435</v>
      </c>
      <c r="D449" s="314">
        <v>43646</v>
      </c>
      <c r="E449" s="351">
        <v>10</v>
      </c>
      <c r="F449" s="191"/>
      <c r="G449" s="191">
        <v>60548.01</v>
      </c>
      <c r="H449" s="242"/>
      <c r="I449" s="130">
        <f t="shared" si="26"/>
        <v>60548.01</v>
      </c>
      <c r="J449" s="130">
        <v>60548.01</v>
      </c>
      <c r="K449" s="14"/>
      <c r="L449" s="14"/>
    </row>
    <row r="450" spans="2:12" ht="23.25" customHeight="1" outlineLevel="1" x14ac:dyDescent="0.2">
      <c r="B450" s="51" t="s">
        <v>677</v>
      </c>
      <c r="C450" s="315">
        <v>43435</v>
      </c>
      <c r="D450" s="314">
        <v>43646</v>
      </c>
      <c r="E450" s="351">
        <v>10</v>
      </c>
      <c r="F450" s="191"/>
      <c r="G450" s="191">
        <v>11534.01</v>
      </c>
      <c r="H450" s="242"/>
      <c r="I450" s="130">
        <f t="shared" si="26"/>
        <v>11534.01</v>
      </c>
      <c r="J450" s="130">
        <v>11534.01</v>
      </c>
      <c r="K450" s="14"/>
      <c r="L450" s="14"/>
    </row>
    <row r="451" spans="2:12" ht="21" customHeight="1" outlineLevel="1" x14ac:dyDescent="0.2">
      <c r="B451" s="51" t="s">
        <v>678</v>
      </c>
      <c r="C451" s="315">
        <v>43435</v>
      </c>
      <c r="D451" s="314">
        <v>43646</v>
      </c>
      <c r="E451" s="351">
        <v>10</v>
      </c>
      <c r="F451" s="191"/>
      <c r="G451" s="191">
        <v>31904.22</v>
      </c>
      <c r="H451" s="242"/>
      <c r="I451" s="130">
        <f t="shared" si="26"/>
        <v>31904.22</v>
      </c>
      <c r="J451" s="130">
        <v>31904.22</v>
      </c>
      <c r="K451" s="14"/>
      <c r="L451" s="14"/>
    </row>
    <row r="452" spans="2:12" ht="21" customHeight="1" outlineLevel="1" x14ac:dyDescent="0.2">
      <c r="B452" s="51" t="s">
        <v>679</v>
      </c>
      <c r="C452" s="315">
        <v>43435</v>
      </c>
      <c r="D452" s="314">
        <v>43646</v>
      </c>
      <c r="E452" s="351">
        <v>10</v>
      </c>
      <c r="F452" s="191">
        <v>6395</v>
      </c>
      <c r="G452" s="191"/>
      <c r="H452" s="242"/>
      <c r="I452" s="130">
        <f t="shared" si="26"/>
        <v>6395</v>
      </c>
      <c r="J452" s="130">
        <v>6395</v>
      </c>
      <c r="K452" s="14"/>
      <c r="L452" s="14"/>
    </row>
    <row r="453" spans="2:12" ht="22.5" customHeight="1" outlineLevel="1" x14ac:dyDescent="0.2">
      <c r="B453" s="51" t="s">
        <v>680</v>
      </c>
      <c r="C453" s="315">
        <v>43435</v>
      </c>
      <c r="D453" s="314">
        <v>43646</v>
      </c>
      <c r="E453" s="351">
        <v>10</v>
      </c>
      <c r="F453" s="191"/>
      <c r="G453" s="191">
        <v>11233</v>
      </c>
      <c r="H453" s="242"/>
      <c r="I453" s="130">
        <f t="shared" si="26"/>
        <v>11233</v>
      </c>
      <c r="J453" s="130">
        <v>11233</v>
      </c>
      <c r="K453" s="14"/>
      <c r="L453" s="14"/>
    </row>
    <row r="454" spans="2:12" ht="27" customHeight="1" outlineLevel="1" x14ac:dyDescent="0.2">
      <c r="B454" s="51" t="s">
        <v>681</v>
      </c>
      <c r="C454" s="315">
        <v>43435</v>
      </c>
      <c r="D454" s="314">
        <v>43646</v>
      </c>
      <c r="E454" s="351">
        <v>10</v>
      </c>
      <c r="F454" s="191"/>
      <c r="G454" s="191">
        <v>228947.43</v>
      </c>
      <c r="H454" s="242"/>
      <c r="I454" s="130">
        <f t="shared" si="26"/>
        <v>228947.43</v>
      </c>
      <c r="J454" s="130">
        <v>228947.43</v>
      </c>
      <c r="K454" s="14"/>
      <c r="L454" s="14"/>
    </row>
    <row r="455" spans="2:12" ht="29.25" customHeight="1" outlineLevel="1" x14ac:dyDescent="0.2">
      <c r="B455" s="51" t="s">
        <v>682</v>
      </c>
      <c r="C455" s="315">
        <v>43435</v>
      </c>
      <c r="D455" s="314">
        <v>43646</v>
      </c>
      <c r="E455" s="351">
        <v>10</v>
      </c>
      <c r="F455" s="191"/>
      <c r="G455" s="191">
        <v>21146</v>
      </c>
      <c r="H455" s="242"/>
      <c r="I455" s="130">
        <f t="shared" si="26"/>
        <v>21146</v>
      </c>
      <c r="J455" s="130">
        <v>21146</v>
      </c>
      <c r="K455" s="14"/>
      <c r="L455" s="14"/>
    </row>
    <row r="456" spans="2:12" ht="34.5" customHeight="1" outlineLevel="1" x14ac:dyDescent="0.2">
      <c r="B456" s="51" t="s">
        <v>683</v>
      </c>
      <c r="C456" s="315">
        <v>43435</v>
      </c>
      <c r="D456" s="314">
        <v>43646</v>
      </c>
      <c r="E456" s="351">
        <v>10</v>
      </c>
      <c r="F456" s="191"/>
      <c r="G456" s="191">
        <v>5200.59</v>
      </c>
      <c r="H456" s="242"/>
      <c r="I456" s="130">
        <f t="shared" si="26"/>
        <v>5200.59</v>
      </c>
      <c r="J456" s="130">
        <v>5200.59</v>
      </c>
      <c r="K456" s="14"/>
      <c r="L456" s="14"/>
    </row>
    <row r="457" spans="2:12" ht="31.5" customHeight="1" outlineLevel="1" x14ac:dyDescent="0.2">
      <c r="B457" s="51" t="s">
        <v>684</v>
      </c>
      <c r="C457" s="315">
        <v>43435</v>
      </c>
      <c r="D457" s="314">
        <v>43646</v>
      </c>
      <c r="E457" s="351">
        <v>10</v>
      </c>
      <c r="F457" s="191"/>
      <c r="G457" s="191">
        <v>3165.73</v>
      </c>
      <c r="H457" s="242"/>
      <c r="I457" s="130">
        <f t="shared" si="26"/>
        <v>3165.73</v>
      </c>
      <c r="J457" s="130">
        <v>3165.73</v>
      </c>
      <c r="K457" s="14"/>
      <c r="L457" s="14"/>
    </row>
    <row r="458" spans="2:12" ht="33" customHeight="1" outlineLevel="1" x14ac:dyDescent="0.2">
      <c r="B458" s="51" t="s">
        <v>685</v>
      </c>
      <c r="C458" s="315">
        <v>43435</v>
      </c>
      <c r="D458" s="314">
        <v>43646</v>
      </c>
      <c r="E458" s="351">
        <v>10</v>
      </c>
      <c r="F458" s="191"/>
      <c r="G458" s="191">
        <v>7989</v>
      </c>
      <c r="H458" s="241"/>
      <c r="I458" s="130">
        <f t="shared" si="26"/>
        <v>7989</v>
      </c>
      <c r="J458" s="130">
        <v>7989</v>
      </c>
      <c r="K458" s="14"/>
      <c r="L458" s="14"/>
    </row>
    <row r="459" spans="2:12" s="163" customFormat="1" ht="31.5" customHeight="1" outlineLevel="1" x14ac:dyDescent="0.2">
      <c r="B459" s="51" t="s">
        <v>686</v>
      </c>
      <c r="C459" s="315">
        <v>43435</v>
      </c>
      <c r="D459" s="314">
        <v>43646</v>
      </c>
      <c r="E459" s="351">
        <v>10</v>
      </c>
      <c r="F459" s="191"/>
      <c r="G459" s="191">
        <v>16043.97</v>
      </c>
      <c r="H459" s="243"/>
      <c r="I459" s="130">
        <f t="shared" si="26"/>
        <v>16043.97</v>
      </c>
      <c r="J459" s="130">
        <v>16043.97</v>
      </c>
      <c r="K459" s="14"/>
      <c r="L459" s="14"/>
    </row>
    <row r="460" spans="2:12" s="163" customFormat="1" ht="31.5" customHeight="1" outlineLevel="1" x14ac:dyDescent="0.2">
      <c r="B460" s="51" t="s">
        <v>687</v>
      </c>
      <c r="C460" s="315">
        <v>43435</v>
      </c>
      <c r="D460" s="314">
        <v>43646</v>
      </c>
      <c r="E460" s="351">
        <v>10</v>
      </c>
      <c r="F460" s="241"/>
      <c r="G460" s="191">
        <v>17105.599999999999</v>
      </c>
      <c r="H460" s="243"/>
      <c r="I460" s="130">
        <f t="shared" si="26"/>
        <v>17105.599999999999</v>
      </c>
      <c r="J460" s="130">
        <v>17105.599999999999</v>
      </c>
      <c r="K460" s="14"/>
      <c r="L460" s="14"/>
    </row>
    <row r="461" spans="2:12" ht="37.5" customHeight="1" outlineLevel="1" x14ac:dyDescent="0.2">
      <c r="B461" s="51" t="s">
        <v>688</v>
      </c>
      <c r="C461" s="315">
        <v>43435</v>
      </c>
      <c r="D461" s="314">
        <v>43646</v>
      </c>
      <c r="E461" s="351">
        <v>10</v>
      </c>
      <c r="F461" s="241"/>
      <c r="G461" s="191">
        <v>8739</v>
      </c>
      <c r="H461" s="242"/>
      <c r="I461" s="130">
        <f t="shared" si="26"/>
        <v>8739</v>
      </c>
      <c r="J461" s="136">
        <v>8739</v>
      </c>
      <c r="K461" s="14"/>
      <c r="L461" s="14"/>
    </row>
    <row r="462" spans="2:12" x14ac:dyDescent="0.2">
      <c r="B462" s="47"/>
      <c r="C462" s="315"/>
      <c r="D462" s="315"/>
      <c r="E462" s="352"/>
      <c r="F462" s="124">
        <f>SUM(F427:F461)</f>
        <v>116601</v>
      </c>
      <c r="G462" s="124">
        <f>SUM(G427:G461)</f>
        <v>920515.98999999976</v>
      </c>
      <c r="H462" s="124">
        <f>SUM(H427:H461)</f>
        <v>0</v>
      </c>
      <c r="I462" s="124">
        <f>SUM(I427:I461)</f>
        <v>1037116.99</v>
      </c>
      <c r="J462" s="124">
        <f>SUM(J427:J461)</f>
        <v>1037116.99</v>
      </c>
      <c r="K462" s="14"/>
      <c r="L462" s="14"/>
    </row>
    <row r="463" spans="2:12" x14ac:dyDescent="0.2">
      <c r="B463" s="34"/>
      <c r="C463" s="348"/>
      <c r="D463" s="349"/>
      <c r="E463" s="350"/>
      <c r="F463" s="287"/>
      <c r="G463" s="287"/>
      <c r="H463" s="241"/>
      <c r="I463" s="135"/>
      <c r="J463" s="288"/>
      <c r="K463" s="14"/>
      <c r="L463" s="14"/>
    </row>
    <row r="464" spans="2:12" ht="24" x14ac:dyDescent="0.2">
      <c r="B464" s="50" t="s">
        <v>144</v>
      </c>
      <c r="C464" s="348"/>
      <c r="D464" s="349"/>
      <c r="E464" s="350"/>
      <c r="F464" s="287"/>
      <c r="G464" s="287"/>
      <c r="H464" s="241"/>
      <c r="I464" s="135"/>
      <c r="J464" s="288"/>
      <c r="K464" s="14"/>
      <c r="L464" s="14"/>
    </row>
    <row r="465" spans="2:12" outlineLevel="1" x14ac:dyDescent="0.2">
      <c r="B465" s="68" t="s">
        <v>689</v>
      </c>
      <c r="C465" s="352" t="s">
        <v>690</v>
      </c>
      <c r="D465" s="314">
        <v>43585</v>
      </c>
      <c r="E465" s="353">
        <v>10</v>
      </c>
      <c r="F465" s="191">
        <v>21312</v>
      </c>
      <c r="G465" s="130"/>
      <c r="H465" s="130"/>
      <c r="I465" s="191">
        <v>21312</v>
      </c>
      <c r="J465" s="130">
        <f t="shared" ref="J465:J473" si="27">I465</f>
        <v>21312</v>
      </c>
      <c r="K465" s="14"/>
      <c r="L465" s="14"/>
    </row>
    <row r="466" spans="2:12" ht="24" outlineLevel="1" x14ac:dyDescent="0.2">
      <c r="B466" s="68" t="s">
        <v>128</v>
      </c>
      <c r="C466" s="314">
        <v>42940</v>
      </c>
      <c r="D466" s="314">
        <v>43501</v>
      </c>
      <c r="E466" s="354">
        <v>80</v>
      </c>
      <c r="F466" s="191">
        <v>6010.51</v>
      </c>
      <c r="G466" s="191">
        <v>23015.67</v>
      </c>
      <c r="H466" s="130"/>
      <c r="I466" s="191">
        <v>29026.18</v>
      </c>
      <c r="J466" s="130">
        <f t="shared" si="27"/>
        <v>29026.18</v>
      </c>
      <c r="K466" s="14"/>
      <c r="L466" s="14"/>
    </row>
    <row r="467" spans="2:12" ht="24" outlineLevel="1" x14ac:dyDescent="0.2">
      <c r="B467" s="68" t="s">
        <v>691</v>
      </c>
      <c r="C467" s="352" t="s">
        <v>692</v>
      </c>
      <c r="D467" s="314">
        <v>43648</v>
      </c>
      <c r="E467" s="242">
        <v>20</v>
      </c>
      <c r="F467" s="241"/>
      <c r="G467" s="241">
        <v>142434.5</v>
      </c>
      <c r="H467" s="241"/>
      <c r="I467" s="191">
        <v>142434.5</v>
      </c>
      <c r="J467" s="130">
        <f t="shared" si="27"/>
        <v>142434.5</v>
      </c>
      <c r="K467" s="14"/>
      <c r="L467" s="14"/>
    </row>
    <row r="468" spans="2:12" ht="24" outlineLevel="1" x14ac:dyDescent="0.2">
      <c r="B468" s="68" t="s">
        <v>693</v>
      </c>
      <c r="C468" s="352" t="s">
        <v>694</v>
      </c>
      <c r="D468" s="314">
        <v>43670</v>
      </c>
      <c r="E468" s="242">
        <v>10</v>
      </c>
      <c r="F468" s="241">
        <v>11346</v>
      </c>
      <c r="G468" s="191"/>
      <c r="H468" s="241"/>
      <c r="I468" s="191">
        <v>11346</v>
      </c>
      <c r="J468" s="130">
        <f t="shared" si="27"/>
        <v>11346</v>
      </c>
      <c r="K468" s="14"/>
      <c r="L468" s="14"/>
    </row>
    <row r="469" spans="2:12" ht="36" outlineLevel="1" x14ac:dyDescent="0.2">
      <c r="B469" s="68" t="s">
        <v>695</v>
      </c>
      <c r="C469" s="352" t="s">
        <v>690</v>
      </c>
      <c r="D469" s="314">
        <v>43636</v>
      </c>
      <c r="E469" s="242">
        <v>10</v>
      </c>
      <c r="F469" s="241">
        <v>15997</v>
      </c>
      <c r="G469" s="191"/>
      <c r="H469" s="241"/>
      <c r="I469" s="191">
        <v>15997</v>
      </c>
      <c r="J469" s="130">
        <f t="shared" si="27"/>
        <v>15997</v>
      </c>
      <c r="K469" s="14"/>
      <c r="L469" s="14"/>
    </row>
    <row r="470" spans="2:12" ht="24" outlineLevel="1" x14ac:dyDescent="0.2">
      <c r="B470" s="68" t="s">
        <v>696</v>
      </c>
      <c r="C470" s="352" t="s">
        <v>697</v>
      </c>
      <c r="D470" s="314">
        <v>43665</v>
      </c>
      <c r="E470" s="242">
        <v>10</v>
      </c>
      <c r="F470" s="241">
        <v>11485</v>
      </c>
      <c r="G470" s="191"/>
      <c r="H470" s="241"/>
      <c r="I470" s="191">
        <v>11485</v>
      </c>
      <c r="J470" s="130">
        <f t="shared" si="27"/>
        <v>11485</v>
      </c>
      <c r="K470" s="14"/>
      <c r="L470" s="14"/>
    </row>
    <row r="471" spans="2:12" ht="24" outlineLevel="1" x14ac:dyDescent="0.2">
      <c r="B471" s="68" t="s">
        <v>698</v>
      </c>
      <c r="C471" s="355" t="s">
        <v>694</v>
      </c>
      <c r="D471" s="314">
        <v>43600</v>
      </c>
      <c r="E471" s="242">
        <v>10</v>
      </c>
      <c r="F471" s="241">
        <v>19132</v>
      </c>
      <c r="G471" s="191"/>
      <c r="H471" s="241"/>
      <c r="I471" s="191">
        <v>19132</v>
      </c>
      <c r="J471" s="130">
        <f t="shared" si="27"/>
        <v>19132</v>
      </c>
      <c r="K471" s="14"/>
      <c r="L471" s="14"/>
    </row>
    <row r="472" spans="2:12" ht="24" outlineLevel="1" x14ac:dyDescent="0.2">
      <c r="B472" s="68" t="s">
        <v>699</v>
      </c>
      <c r="C472" s="314">
        <v>43046</v>
      </c>
      <c r="D472" s="314">
        <v>43590</v>
      </c>
      <c r="E472" s="242">
        <v>10</v>
      </c>
      <c r="F472" s="241">
        <v>45000</v>
      </c>
      <c r="G472" s="241"/>
      <c r="H472" s="241"/>
      <c r="I472" s="191">
        <v>45000</v>
      </c>
      <c r="J472" s="130">
        <f t="shared" si="27"/>
        <v>45000</v>
      </c>
      <c r="K472" s="14"/>
      <c r="L472" s="14"/>
    </row>
    <row r="473" spans="2:12" ht="24" outlineLevel="1" x14ac:dyDescent="0.2">
      <c r="B473" s="68" t="s">
        <v>439</v>
      </c>
      <c r="C473" s="314">
        <v>43319</v>
      </c>
      <c r="D473" s="314">
        <v>43160</v>
      </c>
      <c r="E473" s="242">
        <v>10</v>
      </c>
      <c r="F473" s="241">
        <v>9371</v>
      </c>
      <c r="G473" s="241"/>
      <c r="H473" s="241"/>
      <c r="I473" s="191">
        <v>9371</v>
      </c>
      <c r="J473" s="130">
        <f t="shared" si="27"/>
        <v>9371</v>
      </c>
      <c r="K473" s="14"/>
      <c r="L473" s="14"/>
    </row>
    <row r="474" spans="2:12" x14ac:dyDescent="0.2">
      <c r="B474" s="192"/>
      <c r="C474" s="315"/>
      <c r="D474" s="315"/>
      <c r="E474" s="352"/>
      <c r="F474" s="124">
        <f>SUM(F465:F473)</f>
        <v>139653.51</v>
      </c>
      <c r="G474" s="124">
        <f>SUM(G465:G472)</f>
        <v>165450.16999999998</v>
      </c>
      <c r="H474" s="124">
        <f>SUM(H467:H472)</f>
        <v>0</v>
      </c>
      <c r="I474" s="124">
        <f>SUM(I465:I473)</f>
        <v>305103.68</v>
      </c>
      <c r="J474" s="124">
        <f>SUM(J465:J473)</f>
        <v>305103.68</v>
      </c>
      <c r="K474" s="14"/>
      <c r="L474" s="14"/>
    </row>
    <row r="475" spans="2:12" x14ac:dyDescent="0.2">
      <c r="B475" s="193"/>
      <c r="C475" s="316"/>
      <c r="D475" s="316"/>
      <c r="E475" s="356"/>
      <c r="F475" s="126"/>
      <c r="G475" s="126"/>
      <c r="H475" s="126"/>
      <c r="I475" s="126"/>
      <c r="J475" s="126"/>
      <c r="K475" s="73"/>
      <c r="L475" s="73"/>
    </row>
    <row r="476" spans="2:12" ht="24" x14ac:dyDescent="0.2">
      <c r="B476" s="50" t="s">
        <v>708</v>
      </c>
      <c r="C476" s="348"/>
      <c r="D476" s="349"/>
      <c r="E476" s="350"/>
      <c r="F476" s="287"/>
      <c r="G476" s="287"/>
      <c r="H476" s="241"/>
      <c r="I476" s="135"/>
      <c r="J476" s="288"/>
      <c r="K476" s="14"/>
      <c r="L476" s="14"/>
    </row>
    <row r="477" spans="2:12" outlineLevel="1" x14ac:dyDescent="0.2">
      <c r="B477" s="7" t="s">
        <v>260</v>
      </c>
      <c r="C477" s="314">
        <v>43281</v>
      </c>
      <c r="D477" s="315">
        <v>43616</v>
      </c>
      <c r="E477" s="242">
        <v>90</v>
      </c>
      <c r="F477" s="241">
        <v>4474</v>
      </c>
      <c r="G477" s="241">
        <v>31498.75</v>
      </c>
      <c r="H477" s="241"/>
      <c r="I477" s="124">
        <f t="shared" ref="I477:I489" si="28">G477+F477+H477</f>
        <v>35972.75</v>
      </c>
      <c r="J477" s="130">
        <f t="shared" ref="J477:J489" si="29">I477</f>
        <v>35972.75</v>
      </c>
      <c r="K477" s="14"/>
      <c r="L477" s="14"/>
    </row>
    <row r="478" spans="2:12" outlineLevel="1" x14ac:dyDescent="0.2">
      <c r="B478" s="7" t="s">
        <v>700</v>
      </c>
      <c r="C478" s="314">
        <v>43381</v>
      </c>
      <c r="D478" s="315">
        <v>43524</v>
      </c>
      <c r="E478" s="242">
        <v>50</v>
      </c>
      <c r="F478" s="241"/>
      <c r="G478" s="241">
        <v>8097.18</v>
      </c>
      <c r="H478" s="241"/>
      <c r="I478" s="124">
        <f t="shared" si="28"/>
        <v>8097.18</v>
      </c>
      <c r="J478" s="130">
        <f t="shared" si="29"/>
        <v>8097.18</v>
      </c>
      <c r="K478" s="14"/>
      <c r="L478" s="14"/>
    </row>
    <row r="479" spans="2:12" outlineLevel="1" x14ac:dyDescent="0.2">
      <c r="B479" s="7" t="s">
        <v>701</v>
      </c>
      <c r="C479" s="314">
        <v>43185</v>
      </c>
      <c r="D479" s="315">
        <v>43524</v>
      </c>
      <c r="E479" s="242">
        <v>50</v>
      </c>
      <c r="F479" s="241"/>
      <c r="G479" s="241">
        <v>2907.93</v>
      </c>
      <c r="H479" s="241"/>
      <c r="I479" s="124">
        <f t="shared" si="28"/>
        <v>2907.93</v>
      </c>
      <c r="J479" s="130">
        <f t="shared" si="29"/>
        <v>2907.93</v>
      </c>
      <c r="K479" s="14"/>
      <c r="L479" s="14"/>
    </row>
    <row r="480" spans="2:12" ht="24" outlineLevel="1" x14ac:dyDescent="0.2">
      <c r="B480" s="7" t="s">
        <v>114</v>
      </c>
      <c r="C480" s="314">
        <v>42855</v>
      </c>
      <c r="D480" s="315">
        <v>43646</v>
      </c>
      <c r="E480" s="242">
        <v>88</v>
      </c>
      <c r="F480" s="241">
        <v>4661.21</v>
      </c>
      <c r="G480" s="241">
        <v>25394.75</v>
      </c>
      <c r="H480" s="241"/>
      <c r="I480" s="124">
        <f t="shared" si="28"/>
        <v>30055.96</v>
      </c>
      <c r="J480" s="130">
        <f t="shared" si="29"/>
        <v>30055.96</v>
      </c>
      <c r="K480" s="14"/>
      <c r="L480" s="14"/>
    </row>
    <row r="481" spans="2:12" outlineLevel="1" x14ac:dyDescent="0.2">
      <c r="B481" s="7" t="s">
        <v>115</v>
      </c>
      <c r="C481" s="314">
        <v>42853</v>
      </c>
      <c r="D481" s="315">
        <v>43676</v>
      </c>
      <c r="E481" s="242">
        <v>10</v>
      </c>
      <c r="F481" s="241"/>
      <c r="G481" s="241"/>
      <c r="H481" s="241">
        <v>20000</v>
      </c>
      <c r="I481" s="124">
        <f t="shared" si="28"/>
        <v>20000</v>
      </c>
      <c r="J481" s="130">
        <f t="shared" si="29"/>
        <v>20000</v>
      </c>
      <c r="K481" s="14"/>
      <c r="L481" s="14"/>
    </row>
    <row r="482" spans="2:12" outlineLevel="1" x14ac:dyDescent="0.2">
      <c r="B482" s="7" t="s">
        <v>116</v>
      </c>
      <c r="C482" s="314">
        <v>42986</v>
      </c>
      <c r="D482" s="315">
        <v>43554</v>
      </c>
      <c r="E482" s="242">
        <v>50</v>
      </c>
      <c r="F482" s="241"/>
      <c r="G482" s="241"/>
      <c r="H482" s="241">
        <v>82871.19</v>
      </c>
      <c r="I482" s="124">
        <f t="shared" si="28"/>
        <v>82871.19</v>
      </c>
      <c r="J482" s="130">
        <f t="shared" si="29"/>
        <v>82871.19</v>
      </c>
      <c r="K482" s="14"/>
      <c r="L482" s="14"/>
    </row>
    <row r="483" spans="2:12" outlineLevel="1" x14ac:dyDescent="0.2">
      <c r="B483" s="7" t="s">
        <v>702</v>
      </c>
      <c r="C483" s="314">
        <v>43410</v>
      </c>
      <c r="D483" s="315">
        <v>43524</v>
      </c>
      <c r="E483" s="242">
        <v>50</v>
      </c>
      <c r="F483" s="241"/>
      <c r="G483" s="241">
        <v>27250.23</v>
      </c>
      <c r="H483" s="241"/>
      <c r="I483" s="124">
        <f t="shared" si="28"/>
        <v>27250.23</v>
      </c>
      <c r="J483" s="130">
        <f t="shared" si="29"/>
        <v>27250.23</v>
      </c>
      <c r="K483" s="14"/>
      <c r="L483" s="14"/>
    </row>
    <row r="484" spans="2:12" outlineLevel="1" x14ac:dyDescent="0.2">
      <c r="B484" s="7" t="s">
        <v>703</v>
      </c>
      <c r="C484" s="314">
        <v>43339</v>
      </c>
      <c r="D484" s="315">
        <v>43496</v>
      </c>
      <c r="E484" s="242">
        <v>50</v>
      </c>
      <c r="F484" s="241"/>
      <c r="G484" s="241">
        <v>19905.79</v>
      </c>
      <c r="H484" s="241"/>
      <c r="I484" s="124">
        <f t="shared" si="28"/>
        <v>19905.79</v>
      </c>
      <c r="J484" s="130">
        <f t="shared" si="29"/>
        <v>19905.79</v>
      </c>
      <c r="K484" s="14"/>
      <c r="L484" s="14"/>
    </row>
    <row r="485" spans="2:12" outlineLevel="1" x14ac:dyDescent="0.2">
      <c r="B485" s="7" t="s">
        <v>704</v>
      </c>
      <c r="C485" s="314">
        <v>43381</v>
      </c>
      <c r="D485" s="315">
        <v>43524</v>
      </c>
      <c r="E485" s="242">
        <v>10</v>
      </c>
      <c r="F485" s="241"/>
      <c r="G485" s="241">
        <v>7100.01</v>
      </c>
      <c r="H485" s="241"/>
      <c r="I485" s="124">
        <f t="shared" si="28"/>
        <v>7100.01</v>
      </c>
      <c r="J485" s="130">
        <f t="shared" si="29"/>
        <v>7100.01</v>
      </c>
      <c r="K485" s="14"/>
      <c r="L485" s="14"/>
    </row>
    <row r="486" spans="2:12" outlineLevel="1" x14ac:dyDescent="0.2">
      <c r="B486" s="7" t="s">
        <v>705</v>
      </c>
      <c r="C486" s="314">
        <v>43328</v>
      </c>
      <c r="D486" s="315">
        <v>43554</v>
      </c>
      <c r="E486" s="242">
        <v>10</v>
      </c>
      <c r="F486" s="241"/>
      <c r="G486" s="241">
        <v>3575.37</v>
      </c>
      <c r="H486" s="241"/>
      <c r="I486" s="124">
        <f t="shared" si="28"/>
        <v>3575.37</v>
      </c>
      <c r="J486" s="130">
        <f t="shared" si="29"/>
        <v>3575.37</v>
      </c>
      <c r="K486" s="14"/>
      <c r="L486" s="14"/>
    </row>
    <row r="487" spans="2:12" outlineLevel="1" x14ac:dyDescent="0.2">
      <c r="B487" s="7" t="s">
        <v>706</v>
      </c>
      <c r="C487" s="314">
        <v>43378</v>
      </c>
      <c r="D487" s="315">
        <v>43496</v>
      </c>
      <c r="E487" s="242">
        <v>50</v>
      </c>
      <c r="F487" s="241"/>
      <c r="G487" s="241">
        <v>2897.07</v>
      </c>
      <c r="H487" s="241"/>
      <c r="I487" s="124">
        <f t="shared" si="28"/>
        <v>2897.07</v>
      </c>
      <c r="J487" s="130">
        <f t="shared" si="29"/>
        <v>2897.07</v>
      </c>
      <c r="K487" s="14"/>
      <c r="L487" s="14"/>
    </row>
    <row r="488" spans="2:12" outlineLevel="1" x14ac:dyDescent="0.2">
      <c r="B488" s="7" t="s">
        <v>349</v>
      </c>
      <c r="C488" s="314">
        <v>43343</v>
      </c>
      <c r="D488" s="315">
        <v>43496</v>
      </c>
      <c r="E488" s="242">
        <v>90</v>
      </c>
      <c r="F488" s="241">
        <v>4474.3</v>
      </c>
      <c r="G488" s="241">
        <v>24565.05</v>
      </c>
      <c r="H488" s="241"/>
      <c r="I488" s="124">
        <f t="shared" si="28"/>
        <v>29039.35</v>
      </c>
      <c r="J488" s="130">
        <f t="shared" si="29"/>
        <v>29039.35</v>
      </c>
      <c r="K488" s="14"/>
      <c r="L488" s="14"/>
    </row>
    <row r="489" spans="2:12" outlineLevel="1" x14ac:dyDescent="0.2">
      <c r="B489" s="7" t="s">
        <v>707</v>
      </c>
      <c r="C489" s="314">
        <v>43377</v>
      </c>
      <c r="D489" s="315">
        <v>43496</v>
      </c>
      <c r="E489" s="242">
        <v>50</v>
      </c>
      <c r="F489" s="241"/>
      <c r="G489" s="241">
        <v>4007.73</v>
      </c>
      <c r="H489" s="241"/>
      <c r="I489" s="124">
        <f t="shared" si="28"/>
        <v>4007.73</v>
      </c>
      <c r="J489" s="130">
        <f t="shared" si="29"/>
        <v>4007.73</v>
      </c>
      <c r="K489" s="14"/>
      <c r="L489" s="14"/>
    </row>
    <row r="490" spans="2:12" x14ac:dyDescent="0.2">
      <c r="B490" s="5"/>
      <c r="C490" s="315"/>
      <c r="D490" s="315"/>
      <c r="E490" s="352"/>
      <c r="F490" s="124">
        <f t="shared" ref="F490:H490" si="30">SUM(F476:F489)</f>
        <v>13609.509999999998</v>
      </c>
      <c r="G490" s="124">
        <f t="shared" si="30"/>
        <v>157199.86000000002</v>
      </c>
      <c r="H490" s="124">
        <f t="shared" si="30"/>
        <v>102871.19</v>
      </c>
      <c r="I490" s="124">
        <f t="shared" ref="I490" si="31">SUM(I476:I489)</f>
        <v>273680.56</v>
      </c>
      <c r="J490" s="124">
        <f>SUM(J476:J489)</f>
        <v>273680.56</v>
      </c>
      <c r="K490" s="14"/>
      <c r="L490" s="14"/>
    </row>
    <row r="491" spans="2:12" x14ac:dyDescent="0.2">
      <c r="B491" s="101"/>
      <c r="C491" s="316"/>
      <c r="D491" s="316"/>
      <c r="E491" s="356"/>
      <c r="F491" s="126"/>
      <c r="G491" s="126"/>
      <c r="H491" s="126"/>
      <c r="I491" s="126"/>
      <c r="J491" s="126"/>
      <c r="K491" s="73"/>
      <c r="L491" s="73"/>
    </row>
    <row r="492" spans="2:12" ht="24" x14ac:dyDescent="0.2">
      <c r="B492" s="50" t="s">
        <v>727</v>
      </c>
      <c r="C492" s="348"/>
      <c r="D492" s="349"/>
      <c r="E492" s="350"/>
      <c r="F492" s="287"/>
      <c r="G492" s="289"/>
      <c r="H492" s="241"/>
      <c r="I492" s="135"/>
      <c r="J492" s="288"/>
      <c r="K492" s="49"/>
      <c r="L492" s="14"/>
    </row>
    <row r="493" spans="2:12" ht="24" outlineLevel="1" x14ac:dyDescent="0.2">
      <c r="B493" s="52" t="s">
        <v>709</v>
      </c>
      <c r="C493" s="315"/>
      <c r="D493" s="314"/>
      <c r="E493" s="351"/>
      <c r="F493" s="138"/>
      <c r="G493" s="138"/>
      <c r="H493" s="241"/>
      <c r="I493" s="136"/>
      <c r="J493" s="130"/>
      <c r="K493" s="49"/>
      <c r="L493" s="14"/>
    </row>
    <row r="494" spans="2:12" ht="24" outlineLevel="1" x14ac:dyDescent="0.2">
      <c r="B494" s="194" t="s">
        <v>60</v>
      </c>
      <c r="C494" s="314">
        <v>42754</v>
      </c>
      <c r="D494" s="314">
        <v>43484</v>
      </c>
      <c r="E494" s="357">
        <v>65</v>
      </c>
      <c r="F494" s="242"/>
      <c r="G494" s="241">
        <v>9490.2099999999991</v>
      </c>
      <c r="H494" s="242"/>
      <c r="I494" s="124">
        <v>9490.2099999999991</v>
      </c>
      <c r="J494" s="124">
        <v>9490.2099999999991</v>
      </c>
      <c r="K494" s="49"/>
      <c r="L494" s="14"/>
    </row>
    <row r="495" spans="2:12" ht="24" outlineLevel="1" x14ac:dyDescent="0.2">
      <c r="B495" s="194" t="s">
        <v>59</v>
      </c>
      <c r="C495" s="314">
        <v>42984</v>
      </c>
      <c r="D495" s="314">
        <v>43530</v>
      </c>
      <c r="E495" s="357">
        <v>70</v>
      </c>
      <c r="F495" s="242"/>
      <c r="G495" s="290">
        <v>817.86</v>
      </c>
      <c r="H495" s="242"/>
      <c r="I495" s="195">
        <v>817.86</v>
      </c>
      <c r="J495" s="195">
        <v>817.86</v>
      </c>
      <c r="K495" s="49"/>
      <c r="L495" s="14"/>
    </row>
    <row r="496" spans="2:12" ht="24" outlineLevel="1" x14ac:dyDescent="0.2">
      <c r="B496" s="194" t="s">
        <v>164</v>
      </c>
      <c r="C496" s="314">
        <v>43374</v>
      </c>
      <c r="D496" s="314">
        <v>43769</v>
      </c>
      <c r="E496" s="357">
        <v>50</v>
      </c>
      <c r="F496" s="241">
        <v>4046.07</v>
      </c>
      <c r="G496" s="242"/>
      <c r="H496" s="242"/>
      <c r="I496" s="124">
        <v>4046.07</v>
      </c>
      <c r="J496" s="124">
        <v>4046.07</v>
      </c>
      <c r="K496" s="49"/>
      <c r="L496" s="14"/>
    </row>
    <row r="497" spans="2:12" outlineLevel="1" x14ac:dyDescent="0.2">
      <c r="B497" s="194" t="s">
        <v>160</v>
      </c>
      <c r="C497" s="314">
        <v>43129</v>
      </c>
      <c r="D497" s="314">
        <v>43494</v>
      </c>
      <c r="E497" s="357">
        <v>65</v>
      </c>
      <c r="F497" s="290">
        <v>844.04</v>
      </c>
      <c r="G497" s="242">
        <v>6291.33</v>
      </c>
      <c r="H497" s="242"/>
      <c r="I497" s="124">
        <v>7135.37</v>
      </c>
      <c r="J497" s="124">
        <v>7135.37</v>
      </c>
      <c r="K497" s="49"/>
      <c r="L497" s="14"/>
    </row>
    <row r="498" spans="2:12" ht="24" outlineLevel="1" x14ac:dyDescent="0.2">
      <c r="B498" s="194" t="s">
        <v>161</v>
      </c>
      <c r="C498" s="314">
        <v>43132</v>
      </c>
      <c r="D498" s="314">
        <v>43497</v>
      </c>
      <c r="E498" s="357">
        <v>50</v>
      </c>
      <c r="F498" s="290">
        <v>6327.25</v>
      </c>
      <c r="G498" s="241">
        <v>24266.52</v>
      </c>
      <c r="H498" s="242"/>
      <c r="I498" s="124">
        <v>30593.77</v>
      </c>
      <c r="J498" s="124">
        <v>30593.77</v>
      </c>
      <c r="K498" s="49"/>
      <c r="L498" s="14"/>
    </row>
    <row r="499" spans="2:12" ht="24" outlineLevel="1" x14ac:dyDescent="0.2">
      <c r="B499" s="194" t="s">
        <v>163</v>
      </c>
      <c r="C499" s="314">
        <v>43152</v>
      </c>
      <c r="D499" s="314">
        <v>43517</v>
      </c>
      <c r="E499" s="357">
        <v>60</v>
      </c>
      <c r="F499" s="242">
        <v>776.2</v>
      </c>
      <c r="G499" s="291">
        <v>3928.04</v>
      </c>
      <c r="H499" s="242"/>
      <c r="I499" s="124">
        <v>4704.24</v>
      </c>
      <c r="J499" s="124">
        <v>4704.24</v>
      </c>
      <c r="K499" s="49"/>
      <c r="L499" s="14"/>
    </row>
    <row r="500" spans="2:12" outlineLevel="1" x14ac:dyDescent="0.2">
      <c r="B500" s="194" t="s">
        <v>162</v>
      </c>
      <c r="C500" s="314">
        <v>43091</v>
      </c>
      <c r="D500" s="314">
        <v>43730</v>
      </c>
      <c r="E500" s="357">
        <v>55</v>
      </c>
      <c r="F500" s="290">
        <v>776.2</v>
      </c>
      <c r="G500" s="241"/>
      <c r="H500" s="242"/>
      <c r="I500" s="195">
        <v>776.2</v>
      </c>
      <c r="J500" s="195">
        <v>776.2</v>
      </c>
      <c r="K500" s="49"/>
      <c r="L500" s="14"/>
    </row>
    <row r="501" spans="2:12" outlineLevel="1" x14ac:dyDescent="0.2">
      <c r="B501" s="194" t="s">
        <v>264</v>
      </c>
      <c r="C501" s="314">
        <v>42999</v>
      </c>
      <c r="D501" s="314">
        <v>43728</v>
      </c>
      <c r="E501" s="357">
        <v>55</v>
      </c>
      <c r="F501" s="241">
        <v>19121</v>
      </c>
      <c r="G501" s="242"/>
      <c r="H501" s="242"/>
      <c r="I501" s="124">
        <v>19121</v>
      </c>
      <c r="J501" s="124">
        <v>19121</v>
      </c>
      <c r="K501" s="49"/>
      <c r="L501" s="14"/>
    </row>
    <row r="502" spans="2:12" outlineLevel="1" x14ac:dyDescent="0.2">
      <c r="B502" s="194" t="s">
        <v>262</v>
      </c>
      <c r="C502" s="314">
        <v>43160</v>
      </c>
      <c r="D502" s="314">
        <v>43525</v>
      </c>
      <c r="E502" s="357">
        <v>60</v>
      </c>
      <c r="F502" s="241">
        <v>6522.03</v>
      </c>
      <c r="G502" s="242"/>
      <c r="H502" s="242"/>
      <c r="I502" s="124">
        <v>6522.03</v>
      </c>
      <c r="J502" s="124">
        <v>6522.03</v>
      </c>
      <c r="K502" s="49"/>
      <c r="L502" s="14"/>
    </row>
    <row r="503" spans="2:12" outlineLevel="1" x14ac:dyDescent="0.2">
      <c r="B503" s="194" t="s">
        <v>268</v>
      </c>
      <c r="C503" s="314">
        <v>43181</v>
      </c>
      <c r="D503" s="314">
        <v>43769</v>
      </c>
      <c r="E503" s="357">
        <v>80</v>
      </c>
      <c r="F503" s="290">
        <v>776.2</v>
      </c>
      <c r="G503" s="241"/>
      <c r="H503" s="242"/>
      <c r="I503" s="195">
        <v>776.2</v>
      </c>
      <c r="J503" s="195">
        <v>776.2</v>
      </c>
      <c r="K503" s="49"/>
      <c r="L503" s="14"/>
    </row>
    <row r="504" spans="2:12" outlineLevel="1" x14ac:dyDescent="0.2">
      <c r="B504" s="194" t="s">
        <v>267</v>
      </c>
      <c r="C504" s="314">
        <v>43098</v>
      </c>
      <c r="D504" s="314">
        <v>43769</v>
      </c>
      <c r="E504" s="357">
        <v>85</v>
      </c>
      <c r="F504" s="290">
        <v>776.2</v>
      </c>
      <c r="G504" s="292">
        <v>12890.77</v>
      </c>
      <c r="H504" s="242"/>
      <c r="I504" s="124">
        <v>13666.97</v>
      </c>
      <c r="J504" s="124">
        <v>13666.97</v>
      </c>
      <c r="K504" s="49"/>
      <c r="L504" s="14"/>
    </row>
    <row r="505" spans="2:12" outlineLevel="1" x14ac:dyDescent="0.2">
      <c r="B505" s="194" t="s">
        <v>265</v>
      </c>
      <c r="C505" s="314">
        <v>43193</v>
      </c>
      <c r="D505" s="314">
        <v>43350</v>
      </c>
      <c r="E505" s="357">
        <v>100</v>
      </c>
      <c r="F505" s="292"/>
      <c r="G505" s="292">
        <v>7655.41</v>
      </c>
      <c r="H505" s="242"/>
      <c r="I505" s="124">
        <v>7655.41</v>
      </c>
      <c r="J505" s="124">
        <v>7655.41</v>
      </c>
      <c r="K505" s="49"/>
      <c r="L505" s="14"/>
    </row>
    <row r="506" spans="2:12" outlineLevel="1" x14ac:dyDescent="0.2">
      <c r="B506" s="194" t="s">
        <v>263</v>
      </c>
      <c r="C506" s="314">
        <v>43216</v>
      </c>
      <c r="D506" s="314">
        <v>43491</v>
      </c>
      <c r="E506" s="357">
        <v>85</v>
      </c>
      <c r="F506" s="290">
        <v>776.2</v>
      </c>
      <c r="G506" s="242"/>
      <c r="H506" s="242"/>
      <c r="I506" s="195">
        <v>776.2</v>
      </c>
      <c r="J506" s="195">
        <v>776.2</v>
      </c>
      <c r="K506" s="49"/>
      <c r="L506" s="14"/>
    </row>
    <row r="507" spans="2:12" outlineLevel="1" x14ac:dyDescent="0.2">
      <c r="B507" s="194" t="s">
        <v>710</v>
      </c>
      <c r="C507" s="314">
        <v>43201</v>
      </c>
      <c r="D507" s="314">
        <v>43566</v>
      </c>
      <c r="E507" s="357">
        <v>60</v>
      </c>
      <c r="F507" s="290">
        <v>776.2</v>
      </c>
      <c r="G507" s="292">
        <v>4773.91</v>
      </c>
      <c r="H507" s="242"/>
      <c r="I507" s="124">
        <v>5550.11</v>
      </c>
      <c r="J507" s="124">
        <v>5550.11</v>
      </c>
      <c r="K507" s="49"/>
      <c r="L507" s="14"/>
    </row>
    <row r="508" spans="2:12" ht="24" outlineLevel="1" x14ac:dyDescent="0.2">
      <c r="B508" s="194" t="s">
        <v>261</v>
      </c>
      <c r="C508" s="314">
        <v>43124</v>
      </c>
      <c r="D508" s="314">
        <v>43670</v>
      </c>
      <c r="E508" s="357">
        <v>50</v>
      </c>
      <c r="F508" s="290">
        <v>776.2</v>
      </c>
      <c r="G508" s="292">
        <v>64473.84</v>
      </c>
      <c r="H508" s="242"/>
      <c r="I508" s="124">
        <v>65250.04</v>
      </c>
      <c r="J508" s="124">
        <v>65250.04</v>
      </c>
      <c r="K508" s="49"/>
      <c r="L508" s="14"/>
    </row>
    <row r="509" spans="2:12" ht="24" outlineLevel="1" x14ac:dyDescent="0.2">
      <c r="B509" s="194" t="s">
        <v>350</v>
      </c>
      <c r="C509" s="314">
        <v>43290</v>
      </c>
      <c r="D509" s="314">
        <v>43491</v>
      </c>
      <c r="E509" s="357">
        <v>85</v>
      </c>
      <c r="F509" s="290">
        <v>776.2</v>
      </c>
      <c r="G509" s="292">
        <v>14919.14</v>
      </c>
      <c r="H509" s="242"/>
      <c r="I509" s="124">
        <v>15695.34</v>
      </c>
      <c r="J509" s="124">
        <v>15695.34</v>
      </c>
      <c r="K509" s="49"/>
      <c r="L509" s="14"/>
    </row>
    <row r="510" spans="2:12" outlineLevel="1" x14ac:dyDescent="0.2">
      <c r="B510" s="194" t="s">
        <v>351</v>
      </c>
      <c r="C510" s="314">
        <v>43306</v>
      </c>
      <c r="D510" s="314">
        <v>43653</v>
      </c>
      <c r="E510" s="357">
        <v>70</v>
      </c>
      <c r="F510" s="241">
        <v>807.25</v>
      </c>
      <c r="G510" s="292">
        <v>16196.27</v>
      </c>
      <c r="H510" s="242"/>
      <c r="I510" s="124">
        <v>17003.52</v>
      </c>
      <c r="J510" s="124">
        <v>17003.52</v>
      </c>
      <c r="K510" s="49"/>
      <c r="L510" s="14"/>
    </row>
    <row r="511" spans="2:12" ht="24" outlineLevel="1" x14ac:dyDescent="0.2">
      <c r="B511" s="194" t="s">
        <v>352</v>
      </c>
      <c r="C511" s="314">
        <v>43306</v>
      </c>
      <c r="D511" s="314">
        <v>43760</v>
      </c>
      <c r="E511" s="357">
        <v>85</v>
      </c>
      <c r="F511" s="290">
        <v>807.25</v>
      </c>
      <c r="G511" s="241"/>
      <c r="H511" s="242"/>
      <c r="I511" s="195">
        <v>807.25</v>
      </c>
      <c r="J511" s="195">
        <v>807.25</v>
      </c>
      <c r="K511" s="49"/>
      <c r="L511" s="14"/>
    </row>
    <row r="512" spans="2:12" outlineLevel="1" x14ac:dyDescent="0.2">
      <c r="B512" s="194" t="s">
        <v>353</v>
      </c>
      <c r="C512" s="314">
        <v>43306</v>
      </c>
      <c r="D512" s="314">
        <v>43545</v>
      </c>
      <c r="E512" s="357">
        <v>55</v>
      </c>
      <c r="F512" s="241">
        <v>5044.54</v>
      </c>
      <c r="G512" s="291"/>
      <c r="H512" s="242"/>
      <c r="I512" s="124">
        <v>5044.54</v>
      </c>
      <c r="J512" s="124">
        <v>5044.54</v>
      </c>
      <c r="K512" s="49"/>
      <c r="L512" s="14"/>
    </row>
    <row r="513" spans="2:12" outlineLevel="1" x14ac:dyDescent="0.2">
      <c r="B513" s="194" t="s">
        <v>354</v>
      </c>
      <c r="C513" s="314">
        <v>43371</v>
      </c>
      <c r="D513" s="314">
        <v>43488</v>
      </c>
      <c r="E513" s="357">
        <v>75</v>
      </c>
      <c r="F513" s="293"/>
      <c r="G513" s="241">
        <v>23938.57</v>
      </c>
      <c r="H513" s="242"/>
      <c r="I513" s="124">
        <v>23938.57</v>
      </c>
      <c r="J513" s="124">
        <v>23938.57</v>
      </c>
      <c r="K513" s="49"/>
      <c r="L513" s="14"/>
    </row>
    <row r="514" spans="2:12" outlineLevel="1" x14ac:dyDescent="0.2">
      <c r="B514" s="194" t="s">
        <v>355</v>
      </c>
      <c r="C514" s="314">
        <v>43360</v>
      </c>
      <c r="D514" s="314">
        <v>43560</v>
      </c>
      <c r="E514" s="357">
        <v>50</v>
      </c>
      <c r="F514" s="241">
        <v>5044.54</v>
      </c>
      <c r="G514" s="242"/>
      <c r="H514" s="242"/>
      <c r="I514" s="124">
        <v>5044.54</v>
      </c>
      <c r="J514" s="124">
        <v>5044.54</v>
      </c>
      <c r="K514" s="49"/>
      <c r="L514" s="14"/>
    </row>
    <row r="515" spans="2:12" outlineLevel="1" x14ac:dyDescent="0.2">
      <c r="B515" s="194" t="s">
        <v>356</v>
      </c>
      <c r="C515" s="314">
        <v>43160</v>
      </c>
      <c r="D515" s="314">
        <v>43525</v>
      </c>
      <c r="E515" s="357">
        <v>60</v>
      </c>
      <c r="F515" s="293"/>
      <c r="G515" s="292">
        <v>13692.89</v>
      </c>
      <c r="H515" s="242"/>
      <c r="I515" s="124">
        <v>13692.89</v>
      </c>
      <c r="J515" s="124">
        <v>13692.89</v>
      </c>
      <c r="K515" s="49"/>
      <c r="L515" s="14"/>
    </row>
    <row r="516" spans="2:12" ht="24" outlineLevel="1" x14ac:dyDescent="0.2">
      <c r="B516" s="194" t="s">
        <v>357</v>
      </c>
      <c r="C516" s="314">
        <v>43371</v>
      </c>
      <c r="D516" s="314">
        <v>43515</v>
      </c>
      <c r="E516" s="357">
        <v>80</v>
      </c>
      <c r="F516" s="293"/>
      <c r="G516" s="241">
        <v>5782.54</v>
      </c>
      <c r="H516" s="242"/>
      <c r="I516" s="124">
        <v>5782.54</v>
      </c>
      <c r="J516" s="124">
        <v>5782.54</v>
      </c>
      <c r="K516" s="32"/>
      <c r="L516" s="16"/>
    </row>
    <row r="517" spans="2:12" outlineLevel="1" x14ac:dyDescent="0.2">
      <c r="B517" s="194" t="s">
        <v>358</v>
      </c>
      <c r="C517" s="314">
        <v>43360</v>
      </c>
      <c r="D517" s="314">
        <v>43631</v>
      </c>
      <c r="E517" s="357">
        <v>50</v>
      </c>
      <c r="F517" s="241">
        <v>4237.29</v>
      </c>
      <c r="G517" s="242"/>
      <c r="H517" s="242"/>
      <c r="I517" s="124">
        <v>4237.29</v>
      </c>
      <c r="J517" s="124">
        <v>4237.29</v>
      </c>
      <c r="K517" s="32"/>
      <c r="L517" s="16"/>
    </row>
    <row r="518" spans="2:12" ht="48" outlineLevel="1" x14ac:dyDescent="0.2">
      <c r="B518" s="194" t="s">
        <v>711</v>
      </c>
      <c r="C518" s="314">
        <v>43006</v>
      </c>
      <c r="D518" s="314" t="s">
        <v>269</v>
      </c>
      <c r="E518" s="357"/>
      <c r="F518" s="290">
        <v>807.25</v>
      </c>
      <c r="G518" s="241"/>
      <c r="H518" s="242"/>
      <c r="I518" s="195">
        <v>807.25</v>
      </c>
      <c r="J518" s="195">
        <v>807.25</v>
      </c>
      <c r="K518" s="57"/>
      <c r="L518" s="10"/>
    </row>
    <row r="519" spans="2:12" outlineLevel="1" x14ac:dyDescent="0.2">
      <c r="B519" s="194" t="s">
        <v>712</v>
      </c>
      <c r="C519" s="314">
        <v>43378</v>
      </c>
      <c r="D519" s="314">
        <v>43566</v>
      </c>
      <c r="E519" s="357">
        <v>50</v>
      </c>
      <c r="F519" s="290">
        <v>807.25</v>
      </c>
      <c r="G519" s="241"/>
      <c r="H519" s="242"/>
      <c r="I519" s="195">
        <v>807.25</v>
      </c>
      <c r="J519" s="195">
        <v>807.25</v>
      </c>
      <c r="K519" s="49"/>
      <c r="L519" s="14"/>
    </row>
    <row r="520" spans="2:12" outlineLevel="1" x14ac:dyDescent="0.2">
      <c r="B520" s="194" t="s">
        <v>713</v>
      </c>
      <c r="C520" s="314">
        <v>43378</v>
      </c>
      <c r="D520" s="314">
        <v>43573</v>
      </c>
      <c r="E520" s="357">
        <v>50</v>
      </c>
      <c r="F520" s="290">
        <v>807.25</v>
      </c>
      <c r="G520" s="241"/>
      <c r="H520" s="242"/>
      <c r="I520" s="195">
        <v>807.25</v>
      </c>
      <c r="J520" s="195">
        <v>807.25</v>
      </c>
      <c r="K520" s="49"/>
      <c r="L520" s="14"/>
    </row>
    <row r="521" spans="2:12" outlineLevel="1" x14ac:dyDescent="0.2">
      <c r="B521" s="194" t="s">
        <v>714</v>
      </c>
      <c r="C521" s="314">
        <v>43384</v>
      </c>
      <c r="D521" s="314">
        <v>43557</v>
      </c>
      <c r="E521" s="357">
        <v>50</v>
      </c>
      <c r="F521" s="241">
        <v>5044.54</v>
      </c>
      <c r="G521" s="242"/>
      <c r="H521" s="242"/>
      <c r="I521" s="124">
        <v>5044.54</v>
      </c>
      <c r="J521" s="124">
        <v>5044.54</v>
      </c>
      <c r="K521" s="49"/>
      <c r="L521" s="14"/>
    </row>
    <row r="522" spans="2:12" outlineLevel="1" x14ac:dyDescent="0.2">
      <c r="B522" s="194" t="s">
        <v>715</v>
      </c>
      <c r="C522" s="314">
        <v>43404</v>
      </c>
      <c r="D522" s="314">
        <v>43656</v>
      </c>
      <c r="E522" s="357">
        <v>40</v>
      </c>
      <c r="F522" s="290"/>
      <c r="G522" s="241">
        <v>4467.99</v>
      </c>
      <c r="H522" s="242"/>
      <c r="I522" s="124">
        <v>4467.99</v>
      </c>
      <c r="J522" s="124">
        <v>4467.99</v>
      </c>
      <c r="K522" s="49"/>
      <c r="L522" s="14"/>
    </row>
    <row r="523" spans="2:12" ht="26.25" customHeight="1" outlineLevel="1" x14ac:dyDescent="0.2">
      <c r="B523" s="194" t="s">
        <v>716</v>
      </c>
      <c r="C523" s="314">
        <v>43405</v>
      </c>
      <c r="D523" s="314">
        <v>43559</v>
      </c>
      <c r="E523" s="357">
        <v>50</v>
      </c>
      <c r="F523" s="290">
        <v>807.25</v>
      </c>
      <c r="G523" s="242"/>
      <c r="H523" s="242"/>
      <c r="I523" s="195">
        <v>807.25</v>
      </c>
      <c r="J523" s="195">
        <v>807.25</v>
      </c>
      <c r="K523" s="49"/>
      <c r="L523" s="14"/>
    </row>
    <row r="524" spans="2:12" ht="23.25" customHeight="1" outlineLevel="1" x14ac:dyDescent="0.2">
      <c r="B524" s="194" t="s">
        <v>717</v>
      </c>
      <c r="C524" s="314">
        <v>43405</v>
      </c>
      <c r="D524" s="314">
        <v>43748</v>
      </c>
      <c r="E524" s="357">
        <v>50</v>
      </c>
      <c r="F524" s="290">
        <v>807.25</v>
      </c>
      <c r="G524" s="242"/>
      <c r="H524" s="242"/>
      <c r="I524" s="195">
        <v>807.25</v>
      </c>
      <c r="J524" s="195">
        <v>807.25</v>
      </c>
      <c r="K524" s="49"/>
      <c r="L524" s="14"/>
    </row>
    <row r="525" spans="2:12" ht="24" outlineLevel="1" x14ac:dyDescent="0.2">
      <c r="B525" s="194" t="s">
        <v>718</v>
      </c>
      <c r="C525" s="314">
        <v>43405</v>
      </c>
      <c r="D525" s="314">
        <v>43601</v>
      </c>
      <c r="E525" s="357">
        <v>50</v>
      </c>
      <c r="F525" s="290">
        <v>807.25</v>
      </c>
      <c r="G525" s="242"/>
      <c r="H525" s="242"/>
      <c r="I525" s="195">
        <v>807.25</v>
      </c>
      <c r="J525" s="195">
        <v>807.25</v>
      </c>
      <c r="K525" s="49"/>
      <c r="L525" s="14"/>
    </row>
    <row r="526" spans="2:12" ht="48" outlineLevel="1" x14ac:dyDescent="0.2">
      <c r="B526" s="194" t="s">
        <v>719</v>
      </c>
      <c r="C526" s="314">
        <v>43312</v>
      </c>
      <c r="D526" s="314" t="s">
        <v>269</v>
      </c>
      <c r="E526" s="357"/>
      <c r="F526" s="290">
        <v>807.25</v>
      </c>
      <c r="G526" s="241">
        <v>21690.02</v>
      </c>
      <c r="H526" s="242"/>
      <c r="I526" s="124">
        <v>22497.27</v>
      </c>
      <c r="J526" s="124">
        <v>22497.27</v>
      </c>
      <c r="K526" s="49"/>
      <c r="L526" s="14"/>
    </row>
    <row r="527" spans="2:12" outlineLevel="1" x14ac:dyDescent="0.2">
      <c r="B527" s="194" t="s">
        <v>720</v>
      </c>
      <c r="C527" s="314">
        <v>43446</v>
      </c>
      <c r="D527" s="314" t="s">
        <v>721</v>
      </c>
      <c r="E527" s="357">
        <v>50</v>
      </c>
      <c r="F527" s="290">
        <v>807.25</v>
      </c>
      <c r="G527" s="241"/>
      <c r="H527" s="242"/>
      <c r="I527" s="195">
        <v>807.25</v>
      </c>
      <c r="J527" s="195">
        <v>807.25</v>
      </c>
      <c r="K527" s="49"/>
      <c r="L527" s="14"/>
    </row>
    <row r="528" spans="2:12" ht="30" customHeight="1" outlineLevel="1" x14ac:dyDescent="0.2">
      <c r="B528" s="194" t="s">
        <v>722</v>
      </c>
      <c r="C528" s="314">
        <v>43463</v>
      </c>
      <c r="D528" s="314">
        <v>43670</v>
      </c>
      <c r="E528" s="357">
        <v>40</v>
      </c>
      <c r="F528" s="290">
        <v>807.25</v>
      </c>
      <c r="G528" s="241"/>
      <c r="H528" s="242"/>
      <c r="I528" s="195">
        <v>807.25</v>
      </c>
      <c r="J528" s="195">
        <v>807.25</v>
      </c>
      <c r="K528" s="49"/>
      <c r="L528" s="14"/>
    </row>
    <row r="529" spans="2:12" ht="27.75" customHeight="1" outlineLevel="1" x14ac:dyDescent="0.2">
      <c r="B529" s="194" t="s">
        <v>723</v>
      </c>
      <c r="C529" s="314">
        <v>43446</v>
      </c>
      <c r="D529" s="314">
        <v>43654</v>
      </c>
      <c r="E529" s="357">
        <v>40</v>
      </c>
      <c r="F529" s="290">
        <v>807.25</v>
      </c>
      <c r="G529" s="242"/>
      <c r="H529" s="242"/>
      <c r="I529" s="195">
        <v>807.25</v>
      </c>
      <c r="J529" s="195">
        <v>807.25</v>
      </c>
      <c r="K529" s="49"/>
      <c r="L529" s="14"/>
    </row>
    <row r="530" spans="2:12" ht="27.75" customHeight="1" outlineLevel="1" x14ac:dyDescent="0.2">
      <c r="B530" s="194" t="s">
        <v>724</v>
      </c>
      <c r="C530" s="314">
        <v>43451</v>
      </c>
      <c r="D530" s="314">
        <v>43678</v>
      </c>
      <c r="E530" s="357">
        <v>40</v>
      </c>
      <c r="F530" s="241">
        <v>4237.29</v>
      </c>
      <c r="G530" s="241"/>
      <c r="H530" s="242"/>
      <c r="I530" s="124">
        <v>4237.29</v>
      </c>
      <c r="J530" s="124">
        <v>4237.29</v>
      </c>
      <c r="K530" s="49"/>
      <c r="L530" s="14"/>
    </row>
    <row r="531" spans="2:12" ht="27.75" customHeight="1" outlineLevel="1" x14ac:dyDescent="0.2">
      <c r="B531" s="194" t="s">
        <v>1</v>
      </c>
      <c r="C531" s="314">
        <v>42248</v>
      </c>
      <c r="D531" s="314">
        <v>43344</v>
      </c>
      <c r="E531" s="357">
        <v>85</v>
      </c>
      <c r="F531" s="191">
        <v>8263.65</v>
      </c>
      <c r="G531" s="191">
        <v>6191.84</v>
      </c>
      <c r="H531" s="242"/>
      <c r="I531" s="124">
        <v>14455.49</v>
      </c>
      <c r="J531" s="124">
        <v>14455.49</v>
      </c>
      <c r="K531" s="49"/>
      <c r="L531" s="14"/>
    </row>
    <row r="532" spans="2:12" ht="27.75" customHeight="1" outlineLevel="1" x14ac:dyDescent="0.2">
      <c r="B532" s="194" t="s">
        <v>0</v>
      </c>
      <c r="C532" s="314">
        <v>42130</v>
      </c>
      <c r="D532" s="314">
        <v>43736</v>
      </c>
      <c r="E532" s="357">
        <v>75</v>
      </c>
      <c r="F532" s="241">
        <v>8263.65</v>
      </c>
      <c r="G532" s="241"/>
      <c r="H532" s="242"/>
      <c r="I532" s="124">
        <v>8263.65</v>
      </c>
      <c r="J532" s="124">
        <v>8263.65</v>
      </c>
      <c r="K532" s="49"/>
      <c r="L532" s="14"/>
    </row>
    <row r="533" spans="2:12" ht="27.75" customHeight="1" outlineLevel="1" x14ac:dyDescent="0.2">
      <c r="B533" s="194" t="s">
        <v>266</v>
      </c>
      <c r="C533" s="314">
        <v>43006</v>
      </c>
      <c r="D533" s="314">
        <v>43552</v>
      </c>
      <c r="E533" s="357">
        <v>40</v>
      </c>
      <c r="F533" s="241">
        <v>25176</v>
      </c>
      <c r="G533" s="241"/>
      <c r="H533" s="242"/>
      <c r="I533" s="124">
        <v>25176</v>
      </c>
      <c r="J533" s="124">
        <v>25176</v>
      </c>
      <c r="K533" s="49"/>
      <c r="L533" s="14"/>
    </row>
    <row r="534" spans="2:12" ht="27.75" customHeight="1" outlineLevel="1" x14ac:dyDescent="0.2">
      <c r="B534" s="194" t="s">
        <v>359</v>
      </c>
      <c r="C534" s="314">
        <v>43312</v>
      </c>
      <c r="D534" s="314" t="s">
        <v>269</v>
      </c>
      <c r="E534" s="357"/>
      <c r="F534" s="242"/>
      <c r="G534" s="241">
        <v>7441.97</v>
      </c>
      <c r="H534" s="242"/>
      <c r="I534" s="124">
        <v>7441.97</v>
      </c>
      <c r="J534" s="124">
        <v>7441.97</v>
      </c>
      <c r="K534" s="49"/>
      <c r="L534" s="14"/>
    </row>
    <row r="535" spans="2:12" ht="27.75" customHeight="1" outlineLevel="1" x14ac:dyDescent="0.2">
      <c r="B535" s="194" t="s">
        <v>360</v>
      </c>
      <c r="C535" s="314">
        <v>43312</v>
      </c>
      <c r="D535" s="314" t="s">
        <v>269</v>
      </c>
      <c r="E535" s="357"/>
      <c r="F535" s="242"/>
      <c r="G535" s="241">
        <v>14205.33</v>
      </c>
      <c r="H535" s="242"/>
      <c r="I535" s="124">
        <v>14205.33</v>
      </c>
      <c r="J535" s="124">
        <v>14205.33</v>
      </c>
      <c r="K535" s="49"/>
      <c r="L535" s="14"/>
    </row>
    <row r="536" spans="2:12" ht="27.75" customHeight="1" outlineLevel="1" x14ac:dyDescent="0.2">
      <c r="B536" s="194" t="s">
        <v>165</v>
      </c>
      <c r="C536" s="314">
        <v>42234</v>
      </c>
      <c r="D536" s="314">
        <v>43769</v>
      </c>
      <c r="E536" s="357">
        <v>50</v>
      </c>
      <c r="F536" s="241">
        <v>3493.44</v>
      </c>
      <c r="G536" s="242"/>
      <c r="H536" s="242"/>
      <c r="I536" s="124">
        <v>3493.44</v>
      </c>
      <c r="J536" s="124">
        <v>3493.44</v>
      </c>
      <c r="K536" s="49"/>
      <c r="L536" s="14"/>
    </row>
    <row r="537" spans="2:12" ht="27.75" customHeight="1" outlineLevel="1" x14ac:dyDescent="0.2">
      <c r="B537" s="194" t="s">
        <v>26</v>
      </c>
      <c r="C537" s="314">
        <v>42382</v>
      </c>
      <c r="D537" s="314">
        <v>43554</v>
      </c>
      <c r="E537" s="357">
        <v>50</v>
      </c>
      <c r="F537" s="241">
        <v>5623.87</v>
      </c>
      <c r="G537" s="241"/>
      <c r="H537" s="242"/>
      <c r="I537" s="124">
        <v>5623.87</v>
      </c>
      <c r="J537" s="124">
        <v>5623.87</v>
      </c>
      <c r="K537" s="49"/>
      <c r="L537" s="14"/>
    </row>
    <row r="538" spans="2:12" ht="27.75" customHeight="1" outlineLevel="1" x14ac:dyDescent="0.2">
      <c r="B538" s="194" t="s">
        <v>361</v>
      </c>
      <c r="C538" s="314"/>
      <c r="D538" s="314">
        <v>43609</v>
      </c>
      <c r="E538" s="357">
        <v>75</v>
      </c>
      <c r="F538" s="294"/>
      <c r="G538" s="241">
        <v>7810.46</v>
      </c>
      <c r="H538" s="242"/>
      <c r="I538" s="124">
        <v>7810.46</v>
      </c>
      <c r="J538" s="124">
        <v>7810.46</v>
      </c>
      <c r="K538" s="49"/>
      <c r="L538" s="14"/>
    </row>
    <row r="539" spans="2:12" ht="27.75" customHeight="1" outlineLevel="1" x14ac:dyDescent="0.2">
      <c r="B539" s="194" t="s">
        <v>362</v>
      </c>
      <c r="C539" s="314">
        <v>43006</v>
      </c>
      <c r="D539" s="314">
        <v>43764</v>
      </c>
      <c r="E539" s="357">
        <v>85</v>
      </c>
      <c r="F539" s="294"/>
      <c r="G539" s="241">
        <v>3795.8</v>
      </c>
      <c r="H539" s="241"/>
      <c r="I539" s="124">
        <v>3795.8</v>
      </c>
      <c r="J539" s="124">
        <v>3795.8</v>
      </c>
      <c r="K539" s="49"/>
      <c r="L539" s="14"/>
    </row>
    <row r="540" spans="2:12" ht="39" customHeight="1" outlineLevel="1" x14ac:dyDescent="0.2">
      <c r="B540" s="194" t="s">
        <v>363</v>
      </c>
      <c r="C540" s="314">
        <v>43006</v>
      </c>
      <c r="D540" s="314">
        <v>43833</v>
      </c>
      <c r="E540" s="357">
        <v>40</v>
      </c>
      <c r="F540" s="241"/>
      <c r="G540" s="241">
        <v>14752.26</v>
      </c>
      <c r="H540" s="241"/>
      <c r="I540" s="124">
        <v>14752.26</v>
      </c>
      <c r="J540" s="124">
        <v>14752.26</v>
      </c>
      <c r="K540" s="49"/>
      <c r="L540" s="14"/>
    </row>
    <row r="541" spans="2:12" ht="39.75" customHeight="1" outlineLevel="1" x14ac:dyDescent="0.2">
      <c r="B541" s="194" t="s">
        <v>364</v>
      </c>
      <c r="C541" s="314">
        <v>43006</v>
      </c>
      <c r="D541" s="314">
        <v>43601</v>
      </c>
      <c r="E541" s="357">
        <v>40</v>
      </c>
      <c r="F541" s="242"/>
      <c r="G541" s="241">
        <v>9138.06</v>
      </c>
      <c r="H541" s="242"/>
      <c r="I541" s="124">
        <v>9138.06</v>
      </c>
      <c r="J541" s="124">
        <v>9138.06</v>
      </c>
      <c r="K541" s="49"/>
      <c r="L541" s="14"/>
    </row>
    <row r="542" spans="2:12" ht="60" customHeight="1" outlineLevel="1" x14ac:dyDescent="0.2">
      <c r="B542" s="194" t="s">
        <v>365</v>
      </c>
      <c r="C542" s="314">
        <v>43312</v>
      </c>
      <c r="D542" s="314" t="s">
        <v>269</v>
      </c>
      <c r="E542" s="357"/>
      <c r="F542" s="242"/>
      <c r="G542" s="241">
        <v>2879.49</v>
      </c>
      <c r="H542" s="242"/>
      <c r="I542" s="124">
        <v>2879.49</v>
      </c>
      <c r="J542" s="124">
        <v>2879.49</v>
      </c>
      <c r="K542" s="49"/>
      <c r="L542" s="14"/>
    </row>
    <row r="543" spans="2:12" ht="51.75" customHeight="1" outlineLevel="1" x14ac:dyDescent="0.2">
      <c r="B543" s="194" t="s">
        <v>61</v>
      </c>
      <c r="C543" s="314">
        <v>43306</v>
      </c>
      <c r="D543" s="314" t="s">
        <v>269</v>
      </c>
      <c r="E543" s="357"/>
      <c r="F543" s="242">
        <v>115367.46</v>
      </c>
      <c r="G543" s="290">
        <v>5496.79</v>
      </c>
      <c r="H543" s="242"/>
      <c r="I543" s="124">
        <v>120864.25</v>
      </c>
      <c r="J543" s="124">
        <v>120864.25</v>
      </c>
      <c r="K543" s="49"/>
      <c r="L543" s="14"/>
    </row>
    <row r="544" spans="2:12" ht="55.5" customHeight="1" outlineLevel="1" x14ac:dyDescent="0.2">
      <c r="B544" s="194" t="s">
        <v>725</v>
      </c>
      <c r="C544" s="314">
        <v>42736</v>
      </c>
      <c r="D544" s="314" t="s">
        <v>269</v>
      </c>
      <c r="E544" s="357"/>
      <c r="F544" s="290">
        <v>807.25</v>
      </c>
      <c r="G544" s="241"/>
      <c r="H544" s="242"/>
      <c r="I544" s="195">
        <v>807.25</v>
      </c>
      <c r="J544" s="195">
        <v>807.25</v>
      </c>
      <c r="K544" s="49"/>
      <c r="L544" s="14"/>
    </row>
    <row r="545" spans="2:12" ht="70.5" customHeight="1" outlineLevel="1" x14ac:dyDescent="0.2">
      <c r="B545" s="194" t="s">
        <v>366</v>
      </c>
      <c r="C545" s="314">
        <v>43312</v>
      </c>
      <c r="D545" s="314" t="s">
        <v>269</v>
      </c>
      <c r="E545" s="357"/>
      <c r="F545" s="242">
        <v>2421.75</v>
      </c>
      <c r="G545" s="241">
        <v>23915.61</v>
      </c>
      <c r="H545" s="242"/>
      <c r="I545" s="124">
        <v>26337.360000000001</v>
      </c>
      <c r="J545" s="124">
        <v>26337.360000000001</v>
      </c>
      <c r="K545" s="49"/>
      <c r="L545" s="14"/>
    </row>
    <row r="546" spans="2:12" ht="60.75" customHeight="1" outlineLevel="1" x14ac:dyDescent="0.2">
      <c r="B546" s="194" t="s">
        <v>62</v>
      </c>
      <c r="C546" s="314">
        <v>43306</v>
      </c>
      <c r="D546" s="314" t="s">
        <v>269</v>
      </c>
      <c r="E546" s="357"/>
      <c r="F546" s="241">
        <v>9464.91</v>
      </c>
      <c r="G546" s="291"/>
      <c r="H546" s="242"/>
      <c r="I546" s="124">
        <v>9464.91</v>
      </c>
      <c r="J546" s="124">
        <v>9464.91</v>
      </c>
      <c r="K546" s="49"/>
      <c r="L546" s="14"/>
    </row>
    <row r="547" spans="2:12" ht="51.75" customHeight="1" outlineLevel="1" x14ac:dyDescent="0.2">
      <c r="B547" s="194" t="s">
        <v>127</v>
      </c>
      <c r="C547" s="314">
        <v>43306</v>
      </c>
      <c r="D547" s="314" t="s">
        <v>269</v>
      </c>
      <c r="E547" s="357"/>
      <c r="F547" s="242"/>
      <c r="G547" s="241">
        <v>2150.36</v>
      </c>
      <c r="H547" s="242"/>
      <c r="I547" s="124">
        <v>2150.36</v>
      </c>
      <c r="J547" s="124">
        <v>2150.36</v>
      </c>
      <c r="K547" s="49"/>
      <c r="L547" s="14"/>
    </row>
    <row r="548" spans="2:12" ht="24" outlineLevel="1" x14ac:dyDescent="0.2">
      <c r="B548" s="194" t="s">
        <v>166</v>
      </c>
      <c r="C548" s="314">
        <v>42101</v>
      </c>
      <c r="D548" s="314">
        <v>43554</v>
      </c>
      <c r="E548" s="357">
        <v>65</v>
      </c>
      <c r="F548" s="242">
        <v>12040.39</v>
      </c>
      <c r="G548" s="292">
        <v>31911.81</v>
      </c>
      <c r="H548" s="242"/>
      <c r="I548" s="124">
        <v>43952.2</v>
      </c>
      <c r="J548" s="124">
        <v>43952.2</v>
      </c>
      <c r="K548" s="49"/>
      <c r="L548" s="14"/>
    </row>
    <row r="549" spans="2:12" ht="36.75" customHeight="1" outlineLevel="1" x14ac:dyDescent="0.2">
      <c r="B549" s="194" t="s">
        <v>27</v>
      </c>
      <c r="C549" s="314">
        <v>42458</v>
      </c>
      <c r="D549" s="314">
        <v>43552</v>
      </c>
      <c r="E549" s="357">
        <v>45</v>
      </c>
      <c r="F549" s="241">
        <v>4820.46</v>
      </c>
      <c r="G549" s="241"/>
      <c r="H549" s="242"/>
      <c r="I549" s="124">
        <v>4820.46</v>
      </c>
      <c r="J549" s="124">
        <v>4820.46</v>
      </c>
      <c r="K549" s="49"/>
      <c r="L549" s="14"/>
    </row>
    <row r="550" spans="2:12" ht="56.25" customHeight="1" outlineLevel="1" x14ac:dyDescent="0.2">
      <c r="B550" s="194" t="s">
        <v>270</v>
      </c>
      <c r="C550" s="314">
        <v>42795</v>
      </c>
      <c r="D550" s="314" t="s">
        <v>269</v>
      </c>
      <c r="E550" s="357"/>
      <c r="F550" s="242"/>
      <c r="G550" s="241">
        <v>10613.69</v>
      </c>
      <c r="H550" s="242"/>
      <c r="I550" s="124">
        <v>10613.69</v>
      </c>
      <c r="J550" s="124">
        <v>10613.69</v>
      </c>
      <c r="K550" s="49"/>
      <c r="L550" s="14"/>
    </row>
    <row r="551" spans="2:12" ht="36.75" customHeight="1" outlineLevel="1" x14ac:dyDescent="0.2">
      <c r="B551" s="194" t="s">
        <v>726</v>
      </c>
      <c r="C551" s="314">
        <v>43458</v>
      </c>
      <c r="D551" s="314">
        <v>43743</v>
      </c>
      <c r="E551" s="357">
        <v>30</v>
      </c>
      <c r="F551" s="241"/>
      <c r="G551" s="241">
        <v>9612.1</v>
      </c>
      <c r="H551" s="242"/>
      <c r="I551" s="124">
        <v>9612.1</v>
      </c>
      <c r="J551" s="124">
        <v>9612.1</v>
      </c>
      <c r="K551" s="49"/>
      <c r="L551" s="14"/>
    </row>
    <row r="552" spans="2:12" ht="14.25" customHeight="1" x14ac:dyDescent="0.2">
      <c r="B552" s="53"/>
      <c r="C552" s="315"/>
      <c r="D552" s="315"/>
      <c r="E552" s="352"/>
      <c r="F552" s="124">
        <f t="shared" ref="F552:H552" si="32">SUM(F494:F551)</f>
        <v>272108.01999999996</v>
      </c>
      <c r="G552" s="124">
        <f t="shared" si="32"/>
        <v>385190.87999999995</v>
      </c>
      <c r="H552" s="124">
        <f t="shared" si="32"/>
        <v>0</v>
      </c>
      <c r="I552" s="124">
        <f>SUM(I494:I551)</f>
        <v>657298.89999999979</v>
      </c>
      <c r="J552" s="124">
        <f>SUM(J492:J551)</f>
        <v>657298.89999999979</v>
      </c>
      <c r="K552" s="49"/>
      <c r="L552" s="14"/>
    </row>
    <row r="553" spans="2:12" ht="15.75" customHeight="1" x14ac:dyDescent="0.2">
      <c r="B553" s="111"/>
      <c r="C553" s="358"/>
      <c r="D553" s="358"/>
      <c r="E553" s="359"/>
      <c r="F553" s="129"/>
      <c r="G553" s="129"/>
      <c r="H553" s="129"/>
      <c r="K553" s="112"/>
      <c r="L553" s="113"/>
    </row>
    <row r="554" spans="2:12" ht="36.75" customHeight="1" x14ac:dyDescent="0.2">
      <c r="B554" s="58" t="s">
        <v>803</v>
      </c>
      <c r="C554" s="360"/>
      <c r="D554" s="361"/>
      <c r="E554" s="362"/>
      <c r="F554" s="198"/>
      <c r="G554" s="198"/>
      <c r="H554" s="198"/>
      <c r="I554" s="137"/>
      <c r="J554" s="137"/>
      <c r="K554" s="55"/>
      <c r="L554" s="54"/>
    </row>
    <row r="555" spans="2:12" ht="36.75" customHeight="1" outlineLevel="1" x14ac:dyDescent="0.2">
      <c r="B555" s="52" t="s">
        <v>449</v>
      </c>
      <c r="C555" s="360">
        <v>42690</v>
      </c>
      <c r="D555" s="361">
        <v>43529</v>
      </c>
      <c r="E555" s="362">
        <v>10</v>
      </c>
      <c r="F555" s="196">
        <v>25438</v>
      </c>
      <c r="G555" s="196"/>
      <c r="H555" s="198"/>
      <c r="I555" s="196">
        <v>25438</v>
      </c>
      <c r="J555" s="196">
        <v>25438</v>
      </c>
      <c r="K555" s="55">
        <f>SUM(I555)-J555</f>
        <v>0</v>
      </c>
      <c r="L555" s="54">
        <f>SUM(I555-J555)</f>
        <v>0</v>
      </c>
    </row>
    <row r="556" spans="2:12" ht="36.75" customHeight="1" outlineLevel="1" x14ac:dyDescent="0.2">
      <c r="B556" s="52" t="s">
        <v>450</v>
      </c>
      <c r="C556" s="360">
        <v>42888</v>
      </c>
      <c r="D556" s="361">
        <v>43555</v>
      </c>
      <c r="E556" s="362">
        <v>50</v>
      </c>
      <c r="F556" s="196">
        <v>19810.91</v>
      </c>
      <c r="G556" s="196">
        <v>195790.17</v>
      </c>
      <c r="H556" s="198"/>
      <c r="I556" s="196">
        <v>215601.08</v>
      </c>
      <c r="J556" s="295">
        <v>215601.08</v>
      </c>
      <c r="K556" s="55">
        <f>SUM(I556)-J556</f>
        <v>0</v>
      </c>
      <c r="L556" s="54">
        <f>SUM(I556-J556)</f>
        <v>0</v>
      </c>
    </row>
    <row r="557" spans="2:12" ht="36.75" customHeight="1" outlineLevel="1" x14ac:dyDescent="0.2">
      <c r="B557" s="197" t="s">
        <v>451</v>
      </c>
      <c r="C557" s="360">
        <v>42356</v>
      </c>
      <c r="D557" s="363">
        <v>43709</v>
      </c>
      <c r="E557" s="364">
        <v>10</v>
      </c>
      <c r="F557" s="198">
        <v>2140.58</v>
      </c>
      <c r="G557" s="196"/>
      <c r="H557" s="198">
        <v>35448</v>
      </c>
      <c r="I557" s="198">
        <v>37588.58</v>
      </c>
      <c r="J557" s="198">
        <v>37588.58</v>
      </c>
      <c r="K557" s="55">
        <f>SUM(I557)-J557</f>
        <v>0</v>
      </c>
      <c r="L557" s="54">
        <f>SUM(I557-J557)</f>
        <v>0</v>
      </c>
    </row>
    <row r="558" spans="2:12" ht="36.75" customHeight="1" outlineLevel="1" x14ac:dyDescent="0.2">
      <c r="B558" s="197" t="s">
        <v>452</v>
      </c>
      <c r="C558" s="360">
        <v>42356</v>
      </c>
      <c r="D558" s="363">
        <v>43555</v>
      </c>
      <c r="E558" s="364">
        <v>10</v>
      </c>
      <c r="F558" s="198"/>
      <c r="G558" s="196"/>
      <c r="H558" s="198">
        <v>46568</v>
      </c>
      <c r="I558" s="198">
        <v>46568</v>
      </c>
      <c r="J558" s="198">
        <v>46568</v>
      </c>
      <c r="K558" s="55">
        <f>SUM(I558)-J558</f>
        <v>0</v>
      </c>
      <c r="L558" s="54">
        <f>SUM(I558-J558)</f>
        <v>0</v>
      </c>
    </row>
    <row r="559" spans="2:12" ht="36.75" customHeight="1" outlineLevel="1" x14ac:dyDescent="0.2">
      <c r="B559" s="52" t="s">
        <v>453</v>
      </c>
      <c r="C559" s="360">
        <v>43082</v>
      </c>
      <c r="D559" s="361">
        <v>43529</v>
      </c>
      <c r="E559" s="362">
        <v>10</v>
      </c>
      <c r="F559" s="196">
        <v>20000</v>
      </c>
      <c r="G559" s="196"/>
      <c r="H559" s="198"/>
      <c r="I559" s="196">
        <v>20000</v>
      </c>
      <c r="J559" s="295">
        <v>20000</v>
      </c>
      <c r="K559" s="55">
        <f t="shared" ref="K559:K590" si="33">I559-J559</f>
        <v>0</v>
      </c>
      <c r="L559" s="199">
        <f t="shared" ref="L559:L590" si="34">I559-J559</f>
        <v>0</v>
      </c>
    </row>
    <row r="560" spans="2:12" outlineLevel="1" x14ac:dyDescent="0.2">
      <c r="B560" s="429" t="s">
        <v>728</v>
      </c>
      <c r="C560" s="430">
        <v>42753</v>
      </c>
      <c r="D560" s="440">
        <v>42765</v>
      </c>
      <c r="E560" s="432">
        <v>100</v>
      </c>
      <c r="F560" s="433">
        <v>5990.73</v>
      </c>
      <c r="G560" s="433">
        <v>28075.48</v>
      </c>
      <c r="H560" s="433"/>
      <c r="I560" s="433">
        <v>34066.21</v>
      </c>
      <c r="J560" s="433">
        <v>34066.21</v>
      </c>
      <c r="K560" s="434">
        <f t="shared" si="33"/>
        <v>0</v>
      </c>
      <c r="L560" s="428">
        <f t="shared" si="34"/>
        <v>0</v>
      </c>
    </row>
    <row r="561" spans="2:12" outlineLevel="1" x14ac:dyDescent="0.2">
      <c r="B561" s="429" t="s">
        <v>454</v>
      </c>
      <c r="C561" s="430"/>
      <c r="D561" s="440"/>
      <c r="E561" s="432"/>
      <c r="F561" s="433"/>
      <c r="G561" s="433"/>
      <c r="H561" s="433"/>
      <c r="I561" s="433">
        <v>28636.44</v>
      </c>
      <c r="J561" s="433">
        <v>28636.44</v>
      </c>
      <c r="K561" s="434">
        <f t="shared" si="33"/>
        <v>0</v>
      </c>
      <c r="L561" s="428">
        <f t="shared" si="34"/>
        <v>0</v>
      </c>
    </row>
    <row r="562" spans="2:12" outlineLevel="1" x14ac:dyDescent="0.2">
      <c r="B562" s="429" t="s">
        <v>455</v>
      </c>
      <c r="C562" s="360">
        <v>43272</v>
      </c>
      <c r="D562" s="363">
        <v>43544</v>
      </c>
      <c r="E562" s="364">
        <v>90</v>
      </c>
      <c r="F562" s="198"/>
      <c r="G562" s="198">
        <v>43271</v>
      </c>
      <c r="H562" s="198"/>
      <c r="I562" s="198">
        <v>6086.52</v>
      </c>
      <c r="J562" s="198">
        <v>6086.52</v>
      </c>
      <c r="K562" s="55">
        <f t="shared" si="33"/>
        <v>0</v>
      </c>
      <c r="L562" s="199">
        <f t="shared" si="34"/>
        <v>0</v>
      </c>
    </row>
    <row r="563" spans="2:12" outlineLevel="1" x14ac:dyDescent="0.2">
      <c r="B563" s="429" t="s">
        <v>456</v>
      </c>
      <c r="C563" s="360">
        <v>43299</v>
      </c>
      <c r="D563" s="363">
        <v>43573</v>
      </c>
      <c r="E563" s="364">
        <v>80</v>
      </c>
      <c r="F563" s="198"/>
      <c r="G563" s="198">
        <v>6086.52</v>
      </c>
      <c r="H563" s="198"/>
      <c r="I563" s="198">
        <v>6086.52</v>
      </c>
      <c r="J563" s="198">
        <v>6086.52</v>
      </c>
      <c r="K563" s="55">
        <f t="shared" si="33"/>
        <v>0</v>
      </c>
      <c r="L563" s="199">
        <f t="shared" si="34"/>
        <v>0</v>
      </c>
    </row>
    <row r="564" spans="2:12" outlineLevel="1" x14ac:dyDescent="0.2">
      <c r="B564" s="429" t="s">
        <v>457</v>
      </c>
      <c r="C564" s="360">
        <v>43217</v>
      </c>
      <c r="D564" s="363">
        <v>43492</v>
      </c>
      <c r="E564" s="364">
        <v>90</v>
      </c>
      <c r="F564" s="198"/>
      <c r="G564" s="198">
        <v>31350.36</v>
      </c>
      <c r="H564" s="198"/>
      <c r="I564" s="198">
        <v>31350.36</v>
      </c>
      <c r="J564" s="198">
        <v>31350.36</v>
      </c>
      <c r="K564" s="55">
        <f t="shared" si="33"/>
        <v>0</v>
      </c>
      <c r="L564" s="199">
        <f t="shared" si="34"/>
        <v>0</v>
      </c>
    </row>
    <row r="565" spans="2:12" ht="26.25" customHeight="1" outlineLevel="1" x14ac:dyDescent="0.2">
      <c r="B565" s="429" t="s">
        <v>729</v>
      </c>
      <c r="C565" s="430">
        <v>43437</v>
      </c>
      <c r="D565" s="431">
        <v>43439</v>
      </c>
      <c r="E565" s="432">
        <v>100</v>
      </c>
      <c r="F565" s="433">
        <v>3061.37</v>
      </c>
      <c r="G565" s="433">
        <v>39951.589999999997</v>
      </c>
      <c r="H565" s="433">
        <v>4371.3599999999997</v>
      </c>
      <c r="I565" s="433">
        <v>47384.32</v>
      </c>
      <c r="J565" s="433">
        <v>47384.32</v>
      </c>
      <c r="K565" s="434">
        <f t="shared" si="33"/>
        <v>0</v>
      </c>
      <c r="L565" s="428">
        <f t="shared" si="34"/>
        <v>0</v>
      </c>
    </row>
    <row r="566" spans="2:12" outlineLevel="1" x14ac:dyDescent="0.2">
      <c r="B566" s="429" t="s">
        <v>458</v>
      </c>
      <c r="C566" s="430"/>
      <c r="D566" s="431"/>
      <c r="E566" s="432"/>
      <c r="F566" s="433"/>
      <c r="G566" s="433"/>
      <c r="H566" s="433"/>
      <c r="I566" s="433">
        <v>34187.03</v>
      </c>
      <c r="J566" s="433">
        <v>34187.03</v>
      </c>
      <c r="K566" s="434">
        <f t="shared" si="33"/>
        <v>0</v>
      </c>
      <c r="L566" s="428">
        <f t="shared" si="34"/>
        <v>0</v>
      </c>
    </row>
    <row r="567" spans="2:12" outlineLevel="1" x14ac:dyDescent="0.2">
      <c r="B567" s="429" t="s">
        <v>459</v>
      </c>
      <c r="C567" s="360">
        <v>43273</v>
      </c>
      <c r="D567" s="363">
        <v>43546</v>
      </c>
      <c r="E567" s="364">
        <v>90</v>
      </c>
      <c r="F567" s="198"/>
      <c r="G567" s="198">
        <v>37368.06</v>
      </c>
      <c r="H567" s="198"/>
      <c r="I567" s="198">
        <v>37368.06</v>
      </c>
      <c r="J567" s="198">
        <v>37368.06</v>
      </c>
      <c r="K567" s="55">
        <f t="shared" si="33"/>
        <v>0</v>
      </c>
      <c r="L567" s="199">
        <f t="shared" si="34"/>
        <v>0</v>
      </c>
    </row>
    <row r="568" spans="2:12" outlineLevel="1" x14ac:dyDescent="0.2">
      <c r="B568" s="429" t="s">
        <v>460</v>
      </c>
      <c r="C568" s="360">
        <v>43271</v>
      </c>
      <c r="D568" s="363">
        <v>43544</v>
      </c>
      <c r="E568" s="364">
        <v>80</v>
      </c>
      <c r="F568" s="198"/>
      <c r="G568" s="198">
        <v>31350.36</v>
      </c>
      <c r="H568" s="198"/>
      <c r="I568" s="198">
        <v>31350.36</v>
      </c>
      <c r="J568" s="198">
        <v>31350.36</v>
      </c>
      <c r="K568" s="55">
        <f t="shared" si="33"/>
        <v>0</v>
      </c>
      <c r="L568" s="199">
        <f t="shared" si="34"/>
        <v>0</v>
      </c>
    </row>
    <row r="569" spans="2:12" outlineLevel="1" x14ac:dyDescent="0.2">
      <c r="B569" s="429" t="s">
        <v>461</v>
      </c>
      <c r="C569" s="360">
        <v>43271</v>
      </c>
      <c r="D569" s="363">
        <v>43544</v>
      </c>
      <c r="E569" s="364">
        <v>80</v>
      </c>
      <c r="F569" s="198"/>
      <c r="G569" s="198">
        <v>6271.56</v>
      </c>
      <c r="H569" s="198"/>
      <c r="I569" s="198">
        <v>6271.56</v>
      </c>
      <c r="J569" s="198">
        <v>6271.56</v>
      </c>
      <c r="K569" s="55">
        <f t="shared" si="33"/>
        <v>0</v>
      </c>
      <c r="L569" s="199">
        <f t="shared" si="34"/>
        <v>0</v>
      </c>
    </row>
    <row r="570" spans="2:12" outlineLevel="1" x14ac:dyDescent="0.2">
      <c r="B570" s="429" t="s">
        <v>730</v>
      </c>
      <c r="C570" s="430">
        <v>43192</v>
      </c>
      <c r="D570" s="431">
        <v>43195</v>
      </c>
      <c r="E570" s="432">
        <v>100</v>
      </c>
      <c r="F570" s="433">
        <v>1334.43</v>
      </c>
      <c r="G570" s="433">
        <v>26061.83</v>
      </c>
      <c r="H570" s="433"/>
      <c r="I570" s="433">
        <v>27396.26</v>
      </c>
      <c r="J570" s="433">
        <v>27396.26</v>
      </c>
      <c r="K570" s="434">
        <f t="shared" si="33"/>
        <v>0</v>
      </c>
      <c r="L570" s="428">
        <f t="shared" si="34"/>
        <v>0</v>
      </c>
    </row>
    <row r="571" spans="2:12" outlineLevel="1" x14ac:dyDescent="0.2">
      <c r="B571" s="429" t="s">
        <v>462</v>
      </c>
      <c r="C571" s="430"/>
      <c r="D571" s="431"/>
      <c r="E571" s="432"/>
      <c r="F571" s="433"/>
      <c r="G571" s="433"/>
      <c r="H571" s="433"/>
      <c r="I571" s="433"/>
      <c r="J571" s="433"/>
      <c r="K571" s="434">
        <f t="shared" si="33"/>
        <v>0</v>
      </c>
      <c r="L571" s="428">
        <f t="shared" si="34"/>
        <v>0</v>
      </c>
    </row>
    <row r="572" spans="2:12" ht="31.5" customHeight="1" outlineLevel="1" x14ac:dyDescent="0.2">
      <c r="B572" s="429" t="s">
        <v>463</v>
      </c>
      <c r="C572" s="360">
        <v>43299</v>
      </c>
      <c r="D572" s="363">
        <v>43573</v>
      </c>
      <c r="E572" s="364">
        <v>80</v>
      </c>
      <c r="F572" s="198"/>
      <c r="G572" s="198">
        <v>28636.44</v>
      </c>
      <c r="H572" s="198"/>
      <c r="I572" s="198">
        <v>28636.44</v>
      </c>
      <c r="J572" s="198">
        <v>28636.44</v>
      </c>
      <c r="K572" s="55">
        <f t="shared" si="33"/>
        <v>0</v>
      </c>
      <c r="L572" s="199">
        <f t="shared" si="34"/>
        <v>0</v>
      </c>
    </row>
    <row r="573" spans="2:12" ht="41.25" customHeight="1" outlineLevel="1" x14ac:dyDescent="0.2">
      <c r="B573" s="429" t="s">
        <v>464</v>
      </c>
      <c r="C573" s="360">
        <v>43336</v>
      </c>
      <c r="D573" s="363">
        <v>43609</v>
      </c>
      <c r="E573" s="364">
        <v>80</v>
      </c>
      <c r="F573" s="198"/>
      <c r="G573" s="198">
        <v>38297.07</v>
      </c>
      <c r="H573" s="198"/>
      <c r="I573" s="198">
        <v>38297.07</v>
      </c>
      <c r="J573" s="198">
        <v>38297.07</v>
      </c>
      <c r="K573" s="55">
        <f t="shared" si="33"/>
        <v>0</v>
      </c>
      <c r="L573" s="199">
        <f t="shared" si="34"/>
        <v>0</v>
      </c>
    </row>
    <row r="574" spans="2:12" outlineLevel="1" x14ac:dyDescent="0.2">
      <c r="B574" s="429" t="s">
        <v>465</v>
      </c>
      <c r="C574" s="360">
        <v>43187</v>
      </c>
      <c r="D574" s="363">
        <v>43462</v>
      </c>
      <c r="E574" s="364">
        <v>90</v>
      </c>
      <c r="F574" s="198"/>
      <c r="G574" s="198">
        <v>32874.71</v>
      </c>
      <c r="H574" s="198"/>
      <c r="I574" s="198">
        <v>32874.71</v>
      </c>
      <c r="J574" s="198">
        <v>32874.71</v>
      </c>
      <c r="K574" s="55">
        <f t="shared" si="33"/>
        <v>0</v>
      </c>
      <c r="L574" s="199">
        <f t="shared" si="34"/>
        <v>0</v>
      </c>
    </row>
    <row r="575" spans="2:12" outlineLevel="1" x14ac:dyDescent="0.2">
      <c r="B575" s="429" t="s">
        <v>731</v>
      </c>
      <c r="C575" s="430">
        <v>43284</v>
      </c>
      <c r="D575" s="431">
        <v>43286</v>
      </c>
      <c r="E575" s="432">
        <v>100</v>
      </c>
      <c r="F575" s="433">
        <v>3061.37</v>
      </c>
      <c r="G575" s="433">
        <v>25574.28</v>
      </c>
      <c r="H575" s="433"/>
      <c r="I575" s="433">
        <v>28635.65</v>
      </c>
      <c r="J575" s="433">
        <v>28635.65</v>
      </c>
      <c r="K575" s="434">
        <f t="shared" si="33"/>
        <v>0</v>
      </c>
      <c r="L575" s="428">
        <f t="shared" si="34"/>
        <v>0</v>
      </c>
    </row>
    <row r="576" spans="2:12" outlineLevel="1" x14ac:dyDescent="0.2">
      <c r="B576" s="429" t="s">
        <v>466</v>
      </c>
      <c r="C576" s="430"/>
      <c r="D576" s="431"/>
      <c r="E576" s="432"/>
      <c r="F576" s="433"/>
      <c r="G576" s="433"/>
      <c r="H576" s="433"/>
      <c r="I576" s="433"/>
      <c r="J576" s="433"/>
      <c r="K576" s="434">
        <f t="shared" si="33"/>
        <v>0</v>
      </c>
      <c r="L576" s="428">
        <f t="shared" si="34"/>
        <v>0</v>
      </c>
    </row>
    <row r="577" spans="2:12" outlineLevel="1" x14ac:dyDescent="0.2">
      <c r="B577" s="429" t="s">
        <v>732</v>
      </c>
      <c r="C577" s="360"/>
      <c r="D577" s="363"/>
      <c r="E577" s="364">
        <v>80</v>
      </c>
      <c r="F577" s="198">
        <v>3061.37</v>
      </c>
      <c r="G577" s="198">
        <v>28649.66</v>
      </c>
      <c r="H577" s="198"/>
      <c r="I577" s="198">
        <v>28649.66</v>
      </c>
      <c r="J577" s="198">
        <v>28649.66</v>
      </c>
      <c r="K577" s="55">
        <f t="shared" si="33"/>
        <v>0</v>
      </c>
      <c r="L577" s="199">
        <f t="shared" si="34"/>
        <v>0</v>
      </c>
    </row>
    <row r="578" spans="2:12" outlineLevel="1" x14ac:dyDescent="0.2">
      <c r="B578" s="429" t="s">
        <v>734</v>
      </c>
      <c r="C578" s="360">
        <v>43305</v>
      </c>
      <c r="D578" s="363">
        <v>43579</v>
      </c>
      <c r="E578" s="364">
        <v>90</v>
      </c>
      <c r="F578" s="198"/>
      <c r="G578" s="198">
        <v>28649.66</v>
      </c>
      <c r="H578" s="198"/>
      <c r="I578" s="198">
        <v>28649.66</v>
      </c>
      <c r="J578" s="198">
        <v>28649.66</v>
      </c>
      <c r="K578" s="55">
        <f t="shared" si="33"/>
        <v>0</v>
      </c>
      <c r="L578" s="199">
        <f t="shared" si="34"/>
        <v>0</v>
      </c>
    </row>
    <row r="579" spans="2:12" outlineLevel="1" x14ac:dyDescent="0.2">
      <c r="B579" s="68" t="s">
        <v>462</v>
      </c>
      <c r="C579" s="360">
        <v>43333</v>
      </c>
      <c r="D579" s="363">
        <v>43334</v>
      </c>
      <c r="E579" s="364">
        <v>100</v>
      </c>
      <c r="F579" s="198">
        <v>3061.37</v>
      </c>
      <c r="G579" s="198">
        <v>33130.870000000003</v>
      </c>
      <c r="H579" s="198"/>
      <c r="I579" s="198">
        <v>36192.239999999998</v>
      </c>
      <c r="J579" s="198">
        <v>36192.239999999998</v>
      </c>
      <c r="K579" s="55">
        <f t="shared" si="33"/>
        <v>0</v>
      </c>
      <c r="L579" s="199">
        <f t="shared" si="34"/>
        <v>0</v>
      </c>
    </row>
    <row r="580" spans="2:12" ht="24" outlineLevel="1" x14ac:dyDescent="0.2">
      <c r="B580" s="68" t="s">
        <v>558</v>
      </c>
      <c r="C580" s="360"/>
      <c r="D580" s="363"/>
      <c r="E580" s="364"/>
      <c r="F580" s="198"/>
      <c r="G580" s="198">
        <v>192227.59</v>
      </c>
      <c r="H580" s="198"/>
      <c r="I580" s="198">
        <v>192227.59</v>
      </c>
      <c r="J580" s="198">
        <f>J581+J582+J583+J584+J585</f>
        <v>106364.76999999999</v>
      </c>
      <c r="K580" s="55">
        <f t="shared" si="33"/>
        <v>85862.82</v>
      </c>
      <c r="L580" s="199">
        <f t="shared" si="34"/>
        <v>85862.82</v>
      </c>
    </row>
    <row r="581" spans="2:12" outlineLevel="1" x14ac:dyDescent="0.2">
      <c r="B581" s="429" t="s">
        <v>736</v>
      </c>
      <c r="C581" s="430">
        <v>43441</v>
      </c>
      <c r="D581" s="431">
        <v>43441</v>
      </c>
      <c r="E581" s="432">
        <v>100</v>
      </c>
      <c r="F581" s="433">
        <v>4114.53</v>
      </c>
      <c r="G581" s="433">
        <v>21896.45</v>
      </c>
      <c r="H581" s="433">
        <f>3718.95+0.07</f>
        <v>3719.02</v>
      </c>
      <c r="I581" s="433">
        <v>29730</v>
      </c>
      <c r="J581" s="433">
        <v>29730</v>
      </c>
      <c r="K581" s="434">
        <f t="shared" si="33"/>
        <v>0</v>
      </c>
      <c r="L581" s="428">
        <f t="shared" si="34"/>
        <v>0</v>
      </c>
    </row>
    <row r="582" spans="2:12" outlineLevel="1" x14ac:dyDescent="0.2">
      <c r="B582" s="429" t="s">
        <v>737</v>
      </c>
      <c r="C582" s="430"/>
      <c r="D582" s="431"/>
      <c r="E582" s="432"/>
      <c r="F582" s="433"/>
      <c r="G582" s="433"/>
      <c r="H582" s="433"/>
      <c r="I582" s="433"/>
      <c r="J582" s="433"/>
      <c r="K582" s="434">
        <f t="shared" si="33"/>
        <v>0</v>
      </c>
      <c r="L582" s="428">
        <f t="shared" si="34"/>
        <v>0</v>
      </c>
    </row>
    <row r="583" spans="2:12" outlineLevel="1" x14ac:dyDescent="0.2">
      <c r="B583" s="429" t="s">
        <v>738</v>
      </c>
      <c r="C583" s="430"/>
      <c r="D583" s="431"/>
      <c r="E583" s="432"/>
      <c r="F583" s="433"/>
      <c r="G583" s="433"/>
      <c r="H583" s="433"/>
      <c r="I583" s="433"/>
      <c r="J583" s="433"/>
      <c r="K583" s="434">
        <f t="shared" si="33"/>
        <v>0</v>
      </c>
      <c r="L583" s="428">
        <f t="shared" si="34"/>
        <v>0</v>
      </c>
    </row>
    <row r="584" spans="2:12" outlineLevel="1" x14ac:dyDescent="0.2">
      <c r="B584" s="429" t="s">
        <v>739</v>
      </c>
      <c r="C584" s="360">
        <v>43257</v>
      </c>
      <c r="D584" s="363">
        <v>43530</v>
      </c>
      <c r="E584" s="364">
        <v>90</v>
      </c>
      <c r="F584" s="198"/>
      <c r="G584" s="198">
        <v>40124.339999999997</v>
      </c>
      <c r="H584" s="198"/>
      <c r="I584" s="198">
        <v>40124.339999999997</v>
      </c>
      <c r="J584" s="198">
        <v>40124.339999999997</v>
      </c>
      <c r="K584" s="55">
        <f t="shared" si="33"/>
        <v>0</v>
      </c>
      <c r="L584" s="199">
        <f t="shared" si="34"/>
        <v>0</v>
      </c>
    </row>
    <row r="585" spans="2:12" outlineLevel="1" x14ac:dyDescent="0.2">
      <c r="B585" s="429" t="s">
        <v>740</v>
      </c>
      <c r="C585" s="360">
        <v>43243</v>
      </c>
      <c r="D585" s="363">
        <v>43519</v>
      </c>
      <c r="E585" s="364">
        <v>80</v>
      </c>
      <c r="F585" s="198"/>
      <c r="G585" s="198">
        <v>36510.43</v>
      </c>
      <c r="H585" s="198"/>
      <c r="I585" s="198">
        <v>36510.43</v>
      </c>
      <c r="J585" s="198">
        <v>36510.43</v>
      </c>
      <c r="K585" s="55">
        <f t="shared" si="33"/>
        <v>0</v>
      </c>
      <c r="L585" s="199">
        <f t="shared" si="34"/>
        <v>0</v>
      </c>
    </row>
    <row r="586" spans="2:12" outlineLevel="1" x14ac:dyDescent="0.2">
      <c r="B586" s="429" t="s">
        <v>465</v>
      </c>
      <c r="C586" s="360">
        <v>43353</v>
      </c>
      <c r="D586" s="363">
        <v>43355</v>
      </c>
      <c r="E586" s="432">
        <v>100</v>
      </c>
      <c r="F586" s="198">
        <v>3061.37</v>
      </c>
      <c r="G586" s="198">
        <v>25427.58</v>
      </c>
      <c r="H586" s="198">
        <v>4385.76</v>
      </c>
      <c r="I586" s="198">
        <v>32874.71</v>
      </c>
      <c r="J586" s="198">
        <v>32874.71</v>
      </c>
      <c r="K586" s="55">
        <f t="shared" si="33"/>
        <v>0</v>
      </c>
      <c r="L586" s="199">
        <f t="shared" si="34"/>
        <v>0</v>
      </c>
    </row>
    <row r="587" spans="2:12" outlineLevel="1" x14ac:dyDescent="0.2">
      <c r="B587" s="429" t="s">
        <v>446</v>
      </c>
      <c r="C587" s="360"/>
      <c r="D587" s="363"/>
      <c r="E587" s="432"/>
      <c r="F587" s="198"/>
      <c r="G587" s="198">
        <v>423.12</v>
      </c>
      <c r="H587" s="198"/>
      <c r="I587" s="198">
        <v>423.12</v>
      </c>
      <c r="J587" s="198">
        <v>423.12</v>
      </c>
      <c r="K587" s="55">
        <f t="shared" si="33"/>
        <v>0</v>
      </c>
      <c r="L587" s="199">
        <f t="shared" si="34"/>
        <v>0</v>
      </c>
    </row>
    <row r="588" spans="2:12" outlineLevel="1" x14ac:dyDescent="0.2">
      <c r="B588" s="429" t="s">
        <v>733</v>
      </c>
      <c r="C588" s="360"/>
      <c r="D588" s="363"/>
      <c r="E588" s="432"/>
      <c r="F588" s="198"/>
      <c r="G588" s="198"/>
      <c r="H588" s="198"/>
      <c r="I588" s="198"/>
      <c r="J588" s="198"/>
      <c r="K588" s="55">
        <f t="shared" si="33"/>
        <v>0</v>
      </c>
      <c r="L588" s="199">
        <f t="shared" si="34"/>
        <v>0</v>
      </c>
    </row>
    <row r="589" spans="2:12" outlineLevel="1" x14ac:dyDescent="0.2">
      <c r="B589" s="429" t="s">
        <v>741</v>
      </c>
      <c r="C589" s="360">
        <v>43191</v>
      </c>
      <c r="D589" s="363">
        <v>43567</v>
      </c>
      <c r="E589" s="364">
        <v>90</v>
      </c>
      <c r="F589" s="198"/>
      <c r="G589" s="198">
        <v>423.12</v>
      </c>
      <c r="H589" s="198"/>
      <c r="I589" s="198">
        <v>423.12</v>
      </c>
      <c r="J589" s="198">
        <v>423.12</v>
      </c>
      <c r="K589" s="55">
        <f t="shared" si="33"/>
        <v>0</v>
      </c>
      <c r="L589" s="199">
        <f t="shared" si="34"/>
        <v>0</v>
      </c>
    </row>
    <row r="590" spans="2:12" outlineLevel="1" x14ac:dyDescent="0.2">
      <c r="B590" s="429" t="s">
        <v>561</v>
      </c>
      <c r="C590" s="360"/>
      <c r="D590" s="363"/>
      <c r="E590" s="364"/>
      <c r="F590" s="198"/>
      <c r="G590" s="198">
        <v>134534.29999999999</v>
      </c>
      <c r="H590" s="198"/>
      <c r="I590" s="198">
        <v>134534.29999999999</v>
      </c>
      <c r="J590" s="198">
        <f>J592+J593+J594+J595</f>
        <v>134534.29999999999</v>
      </c>
      <c r="K590" s="55">
        <f t="shared" si="33"/>
        <v>0</v>
      </c>
      <c r="L590" s="199">
        <f t="shared" si="34"/>
        <v>0</v>
      </c>
    </row>
    <row r="591" spans="2:12" outlineLevel="1" x14ac:dyDescent="0.2">
      <c r="B591" s="429" t="s">
        <v>742</v>
      </c>
      <c r="C591" s="430">
        <v>43435</v>
      </c>
      <c r="D591" s="431">
        <v>43554</v>
      </c>
      <c r="E591" s="432">
        <v>30</v>
      </c>
      <c r="F591" s="433"/>
      <c r="G591" s="433"/>
      <c r="H591" s="433">
        <v>3000</v>
      </c>
      <c r="I591" s="433">
        <v>3000</v>
      </c>
      <c r="J591" s="433">
        <v>3000</v>
      </c>
      <c r="K591" s="434">
        <f t="shared" ref="K591:K622" si="35">I591-J591</f>
        <v>0</v>
      </c>
      <c r="L591" s="428">
        <f t="shared" ref="L591:L627" si="36">I591-J591</f>
        <v>0</v>
      </c>
    </row>
    <row r="592" spans="2:12" outlineLevel="1" x14ac:dyDescent="0.2">
      <c r="B592" s="429" t="s">
        <v>743</v>
      </c>
      <c r="C592" s="430">
        <v>43231</v>
      </c>
      <c r="D592" s="431">
        <v>43507</v>
      </c>
      <c r="E592" s="432">
        <v>90</v>
      </c>
      <c r="F592" s="433"/>
      <c r="G592" s="433">
        <v>28636.44</v>
      </c>
      <c r="H592" s="433"/>
      <c r="I592" s="433">
        <v>28636.44</v>
      </c>
      <c r="J592" s="433">
        <v>28636.44</v>
      </c>
      <c r="K592" s="434">
        <f t="shared" si="35"/>
        <v>0</v>
      </c>
      <c r="L592" s="428">
        <f t="shared" si="36"/>
        <v>0</v>
      </c>
    </row>
    <row r="593" spans="2:12" outlineLevel="1" x14ac:dyDescent="0.2">
      <c r="B593" s="429" t="s">
        <v>744</v>
      </c>
      <c r="C593" s="430">
        <v>43312</v>
      </c>
      <c r="D593" s="431">
        <v>43586</v>
      </c>
      <c r="E593" s="432">
        <v>80</v>
      </c>
      <c r="F593" s="433"/>
      <c r="G593" s="433">
        <v>28636.44</v>
      </c>
      <c r="H593" s="433"/>
      <c r="I593" s="433">
        <v>28636.44</v>
      </c>
      <c r="J593" s="433">
        <v>28636.44</v>
      </c>
      <c r="K593" s="434">
        <f t="shared" si="35"/>
        <v>0</v>
      </c>
      <c r="L593" s="428">
        <f t="shared" si="36"/>
        <v>0</v>
      </c>
    </row>
    <row r="594" spans="2:12" outlineLevel="1" x14ac:dyDescent="0.2">
      <c r="B594" s="429" t="s">
        <v>745</v>
      </c>
      <c r="C594" s="430">
        <v>43277</v>
      </c>
      <c r="D594" s="431">
        <v>43550</v>
      </c>
      <c r="E594" s="432">
        <v>90</v>
      </c>
      <c r="F594" s="433"/>
      <c r="G594" s="433">
        <v>41020.53</v>
      </c>
      <c r="H594" s="433"/>
      <c r="I594" s="433">
        <v>41020.53</v>
      </c>
      <c r="J594" s="433">
        <v>41020.53</v>
      </c>
      <c r="K594" s="434">
        <f t="shared" si="35"/>
        <v>0</v>
      </c>
      <c r="L594" s="428">
        <f t="shared" si="36"/>
        <v>0</v>
      </c>
    </row>
    <row r="595" spans="2:12" outlineLevel="1" x14ac:dyDescent="0.2">
      <c r="B595" s="429" t="s">
        <v>746</v>
      </c>
      <c r="C595" s="430">
        <v>43256</v>
      </c>
      <c r="D595" s="431">
        <v>43529</v>
      </c>
      <c r="E595" s="432"/>
      <c r="F595" s="433"/>
      <c r="G595" s="433"/>
      <c r="H595" s="433"/>
      <c r="I595" s="433">
        <v>36240.89</v>
      </c>
      <c r="J595" s="433">
        <v>36240.89</v>
      </c>
      <c r="K595" s="434">
        <f t="shared" si="35"/>
        <v>0</v>
      </c>
      <c r="L595" s="428">
        <f t="shared" si="36"/>
        <v>0</v>
      </c>
    </row>
    <row r="596" spans="2:12" outlineLevel="1" x14ac:dyDescent="0.2">
      <c r="B596" s="429" t="s">
        <v>747</v>
      </c>
      <c r="C596" s="430">
        <v>43115</v>
      </c>
      <c r="D596" s="431">
        <v>43189</v>
      </c>
      <c r="E596" s="432">
        <v>100</v>
      </c>
      <c r="F596" s="433">
        <v>3061.37</v>
      </c>
      <c r="G596" s="433">
        <v>60290.63</v>
      </c>
      <c r="H596" s="433"/>
      <c r="I596" s="433">
        <v>63352</v>
      </c>
      <c r="J596" s="433">
        <v>63352</v>
      </c>
      <c r="K596" s="434">
        <f t="shared" si="35"/>
        <v>0</v>
      </c>
      <c r="L596" s="428">
        <f t="shared" si="36"/>
        <v>0</v>
      </c>
    </row>
    <row r="597" spans="2:12" outlineLevel="1" x14ac:dyDescent="0.2">
      <c r="B597" s="429" t="s">
        <v>733</v>
      </c>
      <c r="C597" s="430"/>
      <c r="D597" s="431"/>
      <c r="E597" s="432"/>
      <c r="F597" s="433"/>
      <c r="G597" s="433"/>
      <c r="H597" s="433"/>
      <c r="I597" s="433"/>
      <c r="J597" s="433"/>
      <c r="K597" s="434">
        <f t="shared" si="35"/>
        <v>0</v>
      </c>
      <c r="L597" s="428">
        <f t="shared" si="36"/>
        <v>0</v>
      </c>
    </row>
    <row r="598" spans="2:12" outlineLevel="1" x14ac:dyDescent="0.2">
      <c r="B598" s="429" t="s">
        <v>748</v>
      </c>
      <c r="C598" s="430"/>
      <c r="D598" s="431"/>
      <c r="E598" s="432"/>
      <c r="F598" s="433"/>
      <c r="G598" s="433"/>
      <c r="H598" s="433"/>
      <c r="I598" s="433"/>
      <c r="J598" s="433">
        <v>423.12</v>
      </c>
      <c r="K598" s="434">
        <f t="shared" si="35"/>
        <v>-423.12</v>
      </c>
      <c r="L598" s="428">
        <f t="shared" si="36"/>
        <v>-423.12</v>
      </c>
    </row>
    <row r="599" spans="2:12" outlineLevel="1" x14ac:dyDescent="0.2">
      <c r="B599" s="429" t="s">
        <v>447</v>
      </c>
      <c r="C599" s="430"/>
      <c r="D599" s="431"/>
      <c r="E599" s="432"/>
      <c r="F599" s="433"/>
      <c r="G599" s="433"/>
      <c r="H599" s="433"/>
      <c r="I599" s="433"/>
      <c r="J599" s="433">
        <v>28884.87</v>
      </c>
      <c r="K599" s="434">
        <f t="shared" si="35"/>
        <v>-28884.87</v>
      </c>
      <c r="L599" s="428">
        <f t="shared" si="36"/>
        <v>-28884.87</v>
      </c>
    </row>
    <row r="600" spans="2:12" outlineLevel="1" x14ac:dyDescent="0.2">
      <c r="B600" s="429" t="s">
        <v>735</v>
      </c>
      <c r="C600" s="430"/>
      <c r="D600" s="431"/>
      <c r="E600" s="432"/>
      <c r="F600" s="433"/>
      <c r="G600" s="433"/>
      <c r="H600" s="433"/>
      <c r="I600" s="433"/>
      <c r="J600" s="433"/>
      <c r="K600" s="434">
        <f t="shared" si="35"/>
        <v>0</v>
      </c>
      <c r="L600" s="428">
        <f t="shared" si="36"/>
        <v>0</v>
      </c>
    </row>
    <row r="601" spans="2:12" outlineLevel="1" x14ac:dyDescent="0.2">
      <c r="B601" s="429" t="s">
        <v>732</v>
      </c>
      <c r="C601" s="430"/>
      <c r="D601" s="431"/>
      <c r="E601" s="432"/>
      <c r="F601" s="433">
        <f>F606+F607</f>
        <v>6122.74</v>
      </c>
      <c r="G601" s="433">
        <f>G606+G607</f>
        <v>44199.15</v>
      </c>
      <c r="H601" s="433">
        <f>H606+H607+H608</f>
        <v>14739.849999999999</v>
      </c>
      <c r="I601" s="433">
        <f>63061.74+2000</f>
        <v>65061.74</v>
      </c>
      <c r="J601" s="433">
        <v>65061.74</v>
      </c>
      <c r="K601" s="434">
        <f t="shared" si="35"/>
        <v>0</v>
      </c>
      <c r="L601" s="428">
        <f t="shared" si="36"/>
        <v>0</v>
      </c>
    </row>
    <row r="602" spans="2:12" outlineLevel="1" x14ac:dyDescent="0.2">
      <c r="B602" s="429" t="s">
        <v>448</v>
      </c>
      <c r="C602" s="430"/>
      <c r="D602" s="431"/>
      <c r="E602" s="432"/>
      <c r="F602" s="433"/>
      <c r="G602" s="433"/>
      <c r="H602" s="433"/>
      <c r="I602" s="433">
        <v>31363.59</v>
      </c>
      <c r="J602" s="433">
        <v>31363.59</v>
      </c>
      <c r="K602" s="434">
        <f t="shared" si="35"/>
        <v>0</v>
      </c>
      <c r="L602" s="428">
        <f t="shared" si="36"/>
        <v>0</v>
      </c>
    </row>
    <row r="603" spans="2:12" outlineLevel="1" x14ac:dyDescent="0.2">
      <c r="B603" s="429" t="s">
        <v>733</v>
      </c>
      <c r="C603" s="430"/>
      <c r="D603" s="431"/>
      <c r="E603" s="432"/>
      <c r="F603" s="433"/>
      <c r="G603" s="433"/>
      <c r="H603" s="433"/>
      <c r="I603" s="433"/>
      <c r="J603" s="433"/>
      <c r="K603" s="434">
        <f t="shared" si="35"/>
        <v>0</v>
      </c>
      <c r="L603" s="428">
        <f t="shared" si="36"/>
        <v>0</v>
      </c>
    </row>
    <row r="604" spans="2:12" outlineLevel="1" x14ac:dyDescent="0.2">
      <c r="B604" s="429" t="s">
        <v>749</v>
      </c>
      <c r="C604" s="430"/>
      <c r="D604" s="431"/>
      <c r="E604" s="432"/>
      <c r="F604" s="433"/>
      <c r="G604" s="433"/>
      <c r="H604" s="433"/>
      <c r="I604" s="433">
        <v>31363.59</v>
      </c>
      <c r="J604" s="433">
        <v>31363.59</v>
      </c>
      <c r="K604" s="434">
        <f t="shared" si="35"/>
        <v>0</v>
      </c>
      <c r="L604" s="428">
        <f t="shared" si="36"/>
        <v>0</v>
      </c>
    </row>
    <row r="605" spans="2:12" outlineLevel="1" x14ac:dyDescent="0.2">
      <c r="B605" s="429" t="s">
        <v>564</v>
      </c>
      <c r="C605" s="430"/>
      <c r="D605" s="431"/>
      <c r="E605" s="432"/>
      <c r="F605" s="433"/>
      <c r="G605" s="433"/>
      <c r="H605" s="433"/>
      <c r="I605" s="433">
        <v>31376.82</v>
      </c>
      <c r="J605" s="433">
        <v>31376.82</v>
      </c>
      <c r="K605" s="434">
        <f t="shared" si="35"/>
        <v>0</v>
      </c>
      <c r="L605" s="428">
        <f t="shared" si="36"/>
        <v>0</v>
      </c>
    </row>
    <row r="606" spans="2:12" outlineLevel="1" x14ac:dyDescent="0.2">
      <c r="B606" s="68" t="s">
        <v>750</v>
      </c>
      <c r="C606" s="360">
        <v>43437</v>
      </c>
      <c r="D606" s="363">
        <v>43438</v>
      </c>
      <c r="E606" s="364">
        <v>100</v>
      </c>
      <c r="F606" s="198">
        <v>3061.37</v>
      </c>
      <c r="G606" s="198">
        <v>22309.15</v>
      </c>
      <c r="H606" s="198">
        <v>6372.57</v>
      </c>
      <c r="I606" s="200">
        <v>31743.09</v>
      </c>
      <c r="J606" s="198">
        <v>31743.09</v>
      </c>
      <c r="K606" s="55">
        <f t="shared" si="35"/>
        <v>0</v>
      </c>
      <c r="L606" s="199">
        <f t="shared" si="36"/>
        <v>0</v>
      </c>
    </row>
    <row r="607" spans="2:12" outlineLevel="1" x14ac:dyDescent="0.2">
      <c r="B607" s="68" t="s">
        <v>751</v>
      </c>
      <c r="C607" s="360">
        <v>43437</v>
      </c>
      <c r="D607" s="363">
        <v>43437</v>
      </c>
      <c r="E607" s="364">
        <v>100</v>
      </c>
      <c r="F607" s="198">
        <v>3061.37</v>
      </c>
      <c r="G607" s="198">
        <v>21890</v>
      </c>
      <c r="H607" s="198">
        <v>6367.28</v>
      </c>
      <c r="I607" s="200">
        <f>31323.94-5.29</f>
        <v>31318.649999999998</v>
      </c>
      <c r="J607" s="198">
        <v>31318.65</v>
      </c>
      <c r="K607" s="55">
        <f t="shared" si="35"/>
        <v>0</v>
      </c>
      <c r="L607" s="199">
        <f t="shared" si="36"/>
        <v>0</v>
      </c>
    </row>
    <row r="608" spans="2:12" outlineLevel="1" x14ac:dyDescent="0.2">
      <c r="B608" s="68" t="s">
        <v>752</v>
      </c>
      <c r="C608" s="360">
        <v>43435</v>
      </c>
      <c r="D608" s="363">
        <v>43554</v>
      </c>
      <c r="E608" s="364">
        <v>30</v>
      </c>
      <c r="F608" s="198"/>
      <c r="G608" s="198"/>
      <c r="H608" s="198">
        <v>2000</v>
      </c>
      <c r="I608" s="200">
        <v>2000</v>
      </c>
      <c r="J608" s="198">
        <v>2000</v>
      </c>
      <c r="K608" s="55">
        <f t="shared" si="35"/>
        <v>0</v>
      </c>
      <c r="L608" s="199">
        <f t="shared" si="36"/>
        <v>0</v>
      </c>
    </row>
    <row r="609" spans="2:12" outlineLevel="1" x14ac:dyDescent="0.2">
      <c r="B609" s="429" t="s">
        <v>558</v>
      </c>
      <c r="C609" s="430"/>
      <c r="D609" s="431"/>
      <c r="E609" s="432"/>
      <c r="F609" s="433">
        <f>F614+F615+F616+F617+F618+F619+F620</f>
        <v>21429.589999999997</v>
      </c>
      <c r="G609" s="433">
        <f>G614+G615+G616+G617+G618+G619+G620</f>
        <v>232497.79000000004</v>
      </c>
      <c r="H609" s="433">
        <f>H614+H615+H616+H617+H618+H619+H620</f>
        <v>30630.12</v>
      </c>
      <c r="I609" s="433">
        <v>284557.5</v>
      </c>
      <c r="J609" s="433">
        <v>284557.5</v>
      </c>
      <c r="K609" s="434">
        <f t="shared" si="35"/>
        <v>0</v>
      </c>
      <c r="L609" s="428">
        <f t="shared" si="36"/>
        <v>0</v>
      </c>
    </row>
    <row r="610" spans="2:12" outlineLevel="1" x14ac:dyDescent="0.2">
      <c r="B610" s="429" t="s">
        <v>753</v>
      </c>
      <c r="C610" s="430">
        <v>43312</v>
      </c>
      <c r="D610" s="431">
        <v>43616</v>
      </c>
      <c r="E610" s="432">
        <v>90</v>
      </c>
      <c r="F610" s="433"/>
      <c r="G610" s="433">
        <v>31376.82</v>
      </c>
      <c r="H610" s="433"/>
      <c r="I610" s="433">
        <v>31376.82</v>
      </c>
      <c r="J610" s="433">
        <v>31376.82</v>
      </c>
      <c r="K610" s="434">
        <f t="shared" si="35"/>
        <v>0</v>
      </c>
      <c r="L610" s="428">
        <f t="shared" si="36"/>
        <v>0</v>
      </c>
    </row>
    <row r="611" spans="2:12" outlineLevel="1" x14ac:dyDescent="0.2">
      <c r="B611" s="429" t="s">
        <v>565</v>
      </c>
      <c r="C611" s="430"/>
      <c r="D611" s="431"/>
      <c r="E611" s="432"/>
      <c r="F611" s="433"/>
      <c r="G611" s="433">
        <v>36261.629999999997</v>
      </c>
      <c r="H611" s="433"/>
      <c r="I611" s="433">
        <v>36261.629999999997</v>
      </c>
      <c r="J611" s="433">
        <v>36261.629999999997</v>
      </c>
      <c r="K611" s="434">
        <f t="shared" si="35"/>
        <v>0</v>
      </c>
      <c r="L611" s="428">
        <f t="shared" si="36"/>
        <v>0</v>
      </c>
    </row>
    <row r="612" spans="2:12" outlineLevel="1" x14ac:dyDescent="0.2">
      <c r="B612" s="429" t="s">
        <v>735</v>
      </c>
      <c r="C612" s="430"/>
      <c r="D612" s="431"/>
      <c r="E612" s="432"/>
      <c r="F612" s="433"/>
      <c r="G612" s="433"/>
      <c r="H612" s="433"/>
      <c r="I612" s="433"/>
      <c r="J612" s="433"/>
      <c r="K612" s="434">
        <f t="shared" si="35"/>
        <v>0</v>
      </c>
      <c r="L612" s="428">
        <f t="shared" si="36"/>
        <v>0</v>
      </c>
    </row>
    <row r="613" spans="2:12" outlineLevel="1" x14ac:dyDescent="0.2">
      <c r="B613" s="429" t="s">
        <v>754</v>
      </c>
      <c r="C613" s="430">
        <v>43284</v>
      </c>
      <c r="D613" s="431">
        <v>43558</v>
      </c>
      <c r="E613" s="432">
        <v>80</v>
      </c>
      <c r="F613" s="433"/>
      <c r="G613" s="433">
        <v>36261.629999999997</v>
      </c>
      <c r="H613" s="433"/>
      <c r="I613" s="433">
        <v>36261.629999999997</v>
      </c>
      <c r="J613" s="433">
        <v>36261.629999999997</v>
      </c>
      <c r="K613" s="434">
        <f t="shared" si="35"/>
        <v>0</v>
      </c>
      <c r="L613" s="428">
        <f t="shared" si="36"/>
        <v>0</v>
      </c>
    </row>
    <row r="614" spans="2:12" outlineLevel="1" x14ac:dyDescent="0.2">
      <c r="B614" s="68" t="s">
        <v>755</v>
      </c>
      <c r="C614" s="360">
        <v>43313</v>
      </c>
      <c r="D614" s="363">
        <v>43328</v>
      </c>
      <c r="E614" s="364">
        <v>100</v>
      </c>
      <c r="F614" s="198">
        <v>3061.37</v>
      </c>
      <c r="G614" s="198">
        <v>29621.82</v>
      </c>
      <c r="H614" s="198">
        <f>4372.57+22.13</f>
        <v>4394.7</v>
      </c>
      <c r="I614" s="198">
        <f>37055.76+22.13</f>
        <v>37077.89</v>
      </c>
      <c r="J614" s="198">
        <f>37055.76+22.13</f>
        <v>37077.89</v>
      </c>
      <c r="K614" s="55">
        <f t="shared" si="35"/>
        <v>0</v>
      </c>
      <c r="L614" s="199">
        <f t="shared" si="36"/>
        <v>0</v>
      </c>
    </row>
    <row r="615" spans="2:12" outlineLevel="1" x14ac:dyDescent="0.2">
      <c r="B615" s="68" t="s">
        <v>756</v>
      </c>
      <c r="C615" s="360">
        <v>43328</v>
      </c>
      <c r="D615" s="363">
        <v>43328</v>
      </c>
      <c r="E615" s="364">
        <v>100</v>
      </c>
      <c r="F615" s="198">
        <v>3061.37</v>
      </c>
      <c r="G615" s="198">
        <v>32597.88</v>
      </c>
      <c r="H615" s="198">
        <v>4372.57</v>
      </c>
      <c r="I615" s="198">
        <v>40031.82</v>
      </c>
      <c r="J615" s="198">
        <v>40031.82</v>
      </c>
      <c r="K615" s="55">
        <f t="shared" si="35"/>
        <v>0</v>
      </c>
      <c r="L615" s="199">
        <f t="shared" si="36"/>
        <v>0</v>
      </c>
    </row>
    <row r="616" spans="2:12" outlineLevel="1" x14ac:dyDescent="0.2">
      <c r="B616" s="68" t="s">
        <v>757</v>
      </c>
      <c r="C616" s="360">
        <v>43333</v>
      </c>
      <c r="D616" s="363">
        <v>43333</v>
      </c>
      <c r="E616" s="364">
        <v>100</v>
      </c>
      <c r="F616" s="198">
        <v>3061.37</v>
      </c>
      <c r="G616" s="198">
        <v>31071.3</v>
      </c>
      <c r="H616" s="198">
        <v>4372.57</v>
      </c>
      <c r="I616" s="198">
        <v>38505.24</v>
      </c>
      <c r="J616" s="198">
        <v>38505.24</v>
      </c>
      <c r="K616" s="55">
        <f t="shared" si="35"/>
        <v>0</v>
      </c>
      <c r="L616" s="199">
        <f t="shared" si="36"/>
        <v>0</v>
      </c>
    </row>
    <row r="617" spans="2:12" outlineLevel="1" x14ac:dyDescent="0.2">
      <c r="B617" s="68" t="s">
        <v>758</v>
      </c>
      <c r="C617" s="360">
        <v>43389</v>
      </c>
      <c r="D617" s="363">
        <v>43393</v>
      </c>
      <c r="E617" s="364">
        <v>100</v>
      </c>
      <c r="F617" s="198">
        <v>3061.37</v>
      </c>
      <c r="G617" s="198">
        <v>37149.32</v>
      </c>
      <c r="H617" s="198">
        <v>4372.57</v>
      </c>
      <c r="I617" s="198">
        <v>44583.26</v>
      </c>
      <c r="J617" s="198">
        <v>44583.26</v>
      </c>
      <c r="K617" s="55">
        <f t="shared" si="35"/>
        <v>0</v>
      </c>
      <c r="L617" s="199">
        <f t="shared" si="36"/>
        <v>0</v>
      </c>
    </row>
    <row r="618" spans="2:12" outlineLevel="1" x14ac:dyDescent="0.2">
      <c r="B618" s="68" t="s">
        <v>759</v>
      </c>
      <c r="C618" s="360">
        <v>43439</v>
      </c>
      <c r="D618" s="363">
        <v>43441</v>
      </c>
      <c r="E618" s="364">
        <v>100</v>
      </c>
      <c r="F618" s="198">
        <v>3061.37</v>
      </c>
      <c r="G618" s="198">
        <v>31616.6</v>
      </c>
      <c r="H618" s="198">
        <v>4372.57</v>
      </c>
      <c r="I618" s="198">
        <v>39050.54</v>
      </c>
      <c r="J618" s="198">
        <v>39050.54</v>
      </c>
      <c r="K618" s="55">
        <f t="shared" si="35"/>
        <v>0</v>
      </c>
      <c r="L618" s="199">
        <f t="shared" si="36"/>
        <v>0</v>
      </c>
    </row>
    <row r="619" spans="2:12" outlineLevel="1" x14ac:dyDescent="0.2">
      <c r="B619" s="68" t="s">
        <v>760</v>
      </c>
      <c r="C619" s="360">
        <v>43413</v>
      </c>
      <c r="D619" s="363">
        <v>43416</v>
      </c>
      <c r="E619" s="364">
        <v>100</v>
      </c>
      <c r="F619" s="198">
        <v>3061.37</v>
      </c>
      <c r="G619" s="198">
        <v>31906.51</v>
      </c>
      <c r="H619" s="198">
        <v>4372.57</v>
      </c>
      <c r="I619" s="198">
        <v>39340.449999999997</v>
      </c>
      <c r="J619" s="198">
        <v>39340.449999999997</v>
      </c>
      <c r="K619" s="55">
        <f t="shared" si="35"/>
        <v>0</v>
      </c>
      <c r="L619" s="199">
        <f t="shared" si="36"/>
        <v>0</v>
      </c>
    </row>
    <row r="620" spans="2:12" outlineLevel="1" x14ac:dyDescent="0.2">
      <c r="B620" s="68" t="s">
        <v>761</v>
      </c>
      <c r="C620" s="360">
        <v>43439</v>
      </c>
      <c r="D620" s="363">
        <v>43439</v>
      </c>
      <c r="E620" s="364">
        <v>100</v>
      </c>
      <c r="F620" s="198">
        <v>3061.37</v>
      </c>
      <c r="G620" s="198">
        <v>38534.36</v>
      </c>
      <c r="H620" s="198">
        <v>4372.57</v>
      </c>
      <c r="I620" s="198">
        <v>45968.3</v>
      </c>
      <c r="J620" s="198">
        <v>45968.3</v>
      </c>
      <c r="K620" s="55">
        <f t="shared" si="35"/>
        <v>0</v>
      </c>
      <c r="L620" s="199">
        <f t="shared" si="36"/>
        <v>0</v>
      </c>
    </row>
    <row r="621" spans="2:12" outlineLevel="1" x14ac:dyDescent="0.2">
      <c r="B621" s="429" t="s">
        <v>560</v>
      </c>
      <c r="C621" s="430"/>
      <c r="D621" s="431"/>
      <c r="E621" s="432"/>
      <c r="F621" s="433">
        <v>3061.37</v>
      </c>
      <c r="G621" s="433">
        <v>29544.73</v>
      </c>
      <c r="H621" s="433"/>
      <c r="I621" s="433">
        <v>32606.1</v>
      </c>
      <c r="J621" s="433">
        <v>32606.1</v>
      </c>
      <c r="K621" s="434">
        <f t="shared" si="35"/>
        <v>0</v>
      </c>
      <c r="L621" s="428">
        <f t="shared" si="36"/>
        <v>0</v>
      </c>
    </row>
    <row r="622" spans="2:12" outlineLevel="1" x14ac:dyDescent="0.2">
      <c r="B622" s="429"/>
      <c r="C622" s="430"/>
      <c r="D622" s="431"/>
      <c r="E622" s="432"/>
      <c r="F622" s="433"/>
      <c r="G622" s="433"/>
      <c r="H622" s="433"/>
      <c r="I622" s="433"/>
      <c r="J622" s="433"/>
      <c r="K622" s="434">
        <f t="shared" si="35"/>
        <v>0</v>
      </c>
      <c r="L622" s="428">
        <f t="shared" si="36"/>
        <v>0</v>
      </c>
    </row>
    <row r="623" spans="2:12" outlineLevel="1" x14ac:dyDescent="0.2">
      <c r="B623" s="429"/>
      <c r="C623" s="430"/>
      <c r="D623" s="431"/>
      <c r="E623" s="432"/>
      <c r="F623" s="433"/>
      <c r="G623" s="433"/>
      <c r="H623" s="433"/>
      <c r="I623" s="433"/>
      <c r="J623" s="433"/>
      <c r="K623" s="434">
        <f t="shared" ref="K623:K627" si="37">I623-J623</f>
        <v>0</v>
      </c>
      <c r="L623" s="428">
        <f t="shared" si="36"/>
        <v>0</v>
      </c>
    </row>
    <row r="624" spans="2:12" outlineLevel="1" x14ac:dyDescent="0.2">
      <c r="B624" s="68" t="s">
        <v>762</v>
      </c>
      <c r="C624" s="360">
        <v>43437</v>
      </c>
      <c r="D624" s="363">
        <v>43439</v>
      </c>
      <c r="E624" s="364">
        <v>100</v>
      </c>
      <c r="F624" s="198">
        <v>3061.37</v>
      </c>
      <c r="G624" s="198">
        <v>29544.73</v>
      </c>
      <c r="H624" s="198"/>
      <c r="I624" s="198">
        <v>32606.1</v>
      </c>
      <c r="J624" s="198">
        <v>32606.1</v>
      </c>
      <c r="K624" s="55">
        <f t="shared" si="37"/>
        <v>0</v>
      </c>
      <c r="L624" s="199">
        <f t="shared" si="36"/>
        <v>0</v>
      </c>
    </row>
    <row r="625" spans="2:12" ht="27.75" customHeight="1" outlineLevel="1" x14ac:dyDescent="0.2">
      <c r="B625" s="429" t="s">
        <v>561</v>
      </c>
      <c r="C625" s="430"/>
      <c r="D625" s="431"/>
      <c r="E625" s="432"/>
      <c r="F625" s="433">
        <f>F630+F631+F632</f>
        <v>7585.06</v>
      </c>
      <c r="G625" s="433">
        <f>G630+G631+G632+G633+G634</f>
        <v>38188.240000000005</v>
      </c>
      <c r="H625" s="433">
        <f>H630+H631+H632+H633+H634</f>
        <v>13918.95</v>
      </c>
      <c r="I625" s="433">
        <f>52082.94+7609.31</f>
        <v>59692.25</v>
      </c>
      <c r="J625" s="433">
        <v>59692.25</v>
      </c>
      <c r="K625" s="434">
        <f t="shared" si="37"/>
        <v>0</v>
      </c>
      <c r="L625" s="428">
        <f t="shared" si="36"/>
        <v>0</v>
      </c>
    </row>
    <row r="626" spans="2:12" outlineLevel="1" x14ac:dyDescent="0.2">
      <c r="B626" s="429"/>
      <c r="C626" s="430"/>
      <c r="D626" s="431"/>
      <c r="E626" s="432"/>
      <c r="F626" s="433"/>
      <c r="G626" s="433"/>
      <c r="H626" s="433"/>
      <c r="I626" s="433"/>
      <c r="J626" s="433"/>
      <c r="K626" s="434">
        <f t="shared" si="37"/>
        <v>0</v>
      </c>
      <c r="L626" s="428">
        <f t="shared" si="36"/>
        <v>0</v>
      </c>
    </row>
    <row r="627" spans="2:12" outlineLevel="1" x14ac:dyDescent="0.2">
      <c r="B627" s="429"/>
      <c r="C627" s="430"/>
      <c r="D627" s="431"/>
      <c r="E627" s="432"/>
      <c r="F627" s="433"/>
      <c r="G627" s="433"/>
      <c r="H627" s="433"/>
      <c r="I627" s="433"/>
      <c r="J627" s="433"/>
      <c r="K627" s="434">
        <f t="shared" si="37"/>
        <v>0</v>
      </c>
      <c r="L627" s="428">
        <f t="shared" si="36"/>
        <v>0</v>
      </c>
    </row>
    <row r="628" spans="2:12" outlineLevel="1" x14ac:dyDescent="0.2">
      <c r="B628" s="429"/>
      <c r="C628" s="430"/>
      <c r="D628" s="431"/>
      <c r="E628" s="432"/>
      <c r="F628" s="433"/>
      <c r="G628" s="433"/>
      <c r="H628" s="433"/>
      <c r="I628" s="433"/>
      <c r="J628" s="433"/>
      <c r="K628" s="434"/>
      <c r="L628" s="428"/>
    </row>
    <row r="629" spans="2:12" ht="28.5" customHeight="1" outlineLevel="1" x14ac:dyDescent="0.2">
      <c r="B629" s="429"/>
      <c r="C629" s="430"/>
      <c r="D629" s="431"/>
      <c r="E629" s="432"/>
      <c r="F629" s="433"/>
      <c r="G629" s="433"/>
      <c r="H629" s="433"/>
      <c r="I629" s="433"/>
      <c r="J629" s="433"/>
      <c r="K629" s="434"/>
      <c r="L629" s="428"/>
    </row>
    <row r="630" spans="2:12" outlineLevel="1" x14ac:dyDescent="0.2">
      <c r="B630" s="68" t="s">
        <v>763</v>
      </c>
      <c r="C630" s="360">
        <v>43132</v>
      </c>
      <c r="D630" s="363">
        <v>43136</v>
      </c>
      <c r="E630" s="364">
        <v>100</v>
      </c>
      <c r="F630" s="198">
        <v>3189.26</v>
      </c>
      <c r="G630" s="198">
        <v>15184.89</v>
      </c>
      <c r="H630" s="198">
        <v>5200</v>
      </c>
      <c r="I630" s="198">
        <v>23574.15</v>
      </c>
      <c r="J630" s="198">
        <v>23574.15</v>
      </c>
      <c r="K630" s="55">
        <f>I630-J630</f>
        <v>0</v>
      </c>
      <c r="L630" s="199">
        <f>I630-J630</f>
        <v>0</v>
      </c>
    </row>
    <row r="631" spans="2:12" outlineLevel="1" x14ac:dyDescent="0.2">
      <c r="B631" s="68" t="s">
        <v>764</v>
      </c>
      <c r="C631" s="360">
        <v>43202</v>
      </c>
      <c r="D631" s="363">
        <v>43202</v>
      </c>
      <c r="E631" s="364">
        <v>100</v>
      </c>
      <c r="F631" s="198">
        <v>3061.37</v>
      </c>
      <c r="G631" s="198">
        <f>13338.15+364.73+7609.31</f>
        <v>21312.19</v>
      </c>
      <c r="H631" s="198"/>
      <c r="I631" s="198">
        <f>16399.52+364.73+7609.31</f>
        <v>24373.56</v>
      </c>
      <c r="J631" s="198">
        <f>16399.52+364.73+7609.31</f>
        <v>24373.56</v>
      </c>
      <c r="K631" s="55">
        <f>I631-J631</f>
        <v>0</v>
      </c>
      <c r="L631" s="199">
        <f>I631-J631</f>
        <v>0</v>
      </c>
    </row>
    <row r="632" spans="2:12" ht="32.25" customHeight="1" outlineLevel="1" x14ac:dyDescent="0.2">
      <c r="B632" s="68" t="s">
        <v>765</v>
      </c>
      <c r="C632" s="360">
        <v>43437</v>
      </c>
      <c r="D632" s="363">
        <v>43439</v>
      </c>
      <c r="E632" s="364">
        <v>100</v>
      </c>
      <c r="F632" s="198">
        <v>1334.43</v>
      </c>
      <c r="G632" s="198">
        <v>1691.16</v>
      </c>
      <c r="H632" s="198">
        <v>3718.95</v>
      </c>
      <c r="I632" s="198">
        <v>6744.54</v>
      </c>
      <c r="J632" s="198">
        <v>6744.54</v>
      </c>
      <c r="K632" s="55">
        <f>I632-J632</f>
        <v>0</v>
      </c>
      <c r="L632" s="199">
        <f>I632-J632</f>
        <v>0</v>
      </c>
    </row>
    <row r="633" spans="2:12" outlineLevel="1" x14ac:dyDescent="0.2">
      <c r="B633" s="68" t="s">
        <v>766</v>
      </c>
      <c r="C633" s="360">
        <v>43435</v>
      </c>
      <c r="D633" s="363">
        <v>43554</v>
      </c>
      <c r="E633" s="364">
        <v>30</v>
      </c>
      <c r="F633" s="198"/>
      <c r="G633" s="198"/>
      <c r="H633" s="198">
        <v>2000</v>
      </c>
      <c r="I633" s="198">
        <v>2000</v>
      </c>
      <c r="J633" s="198">
        <v>2000</v>
      </c>
      <c r="K633" s="55"/>
      <c r="L633" s="199"/>
    </row>
    <row r="634" spans="2:12" outlineLevel="1" x14ac:dyDescent="0.2">
      <c r="B634" s="68" t="s">
        <v>767</v>
      </c>
      <c r="C634" s="360">
        <v>43435</v>
      </c>
      <c r="D634" s="363">
        <v>43554</v>
      </c>
      <c r="E634" s="364">
        <v>30</v>
      </c>
      <c r="F634" s="198"/>
      <c r="G634" s="198"/>
      <c r="H634" s="198">
        <v>3000</v>
      </c>
      <c r="I634" s="198">
        <v>3000</v>
      </c>
      <c r="J634" s="198">
        <v>3000</v>
      </c>
      <c r="K634" s="55"/>
      <c r="L634" s="199"/>
    </row>
    <row r="635" spans="2:12" ht="28.5" customHeight="1" outlineLevel="1" x14ac:dyDescent="0.2">
      <c r="B635" s="429" t="s">
        <v>447</v>
      </c>
      <c r="C635" s="430"/>
      <c r="D635" s="431"/>
      <c r="E635" s="432"/>
      <c r="F635" s="433">
        <v>2904.37</v>
      </c>
      <c r="G635" s="433">
        <v>25980.5</v>
      </c>
      <c r="H635" s="433"/>
      <c r="I635" s="433">
        <v>28884.87</v>
      </c>
      <c r="J635" s="433">
        <v>28884.87</v>
      </c>
      <c r="K635" s="434">
        <f>I635-J635</f>
        <v>0</v>
      </c>
      <c r="L635" s="428">
        <f>I635-J635</f>
        <v>0</v>
      </c>
    </row>
    <row r="636" spans="2:12" outlineLevel="1" x14ac:dyDescent="0.2">
      <c r="B636" s="429"/>
      <c r="C636" s="430"/>
      <c r="D636" s="431"/>
      <c r="E636" s="432"/>
      <c r="F636" s="433"/>
      <c r="G636" s="433"/>
      <c r="H636" s="433"/>
      <c r="I636" s="433">
        <v>28885.87</v>
      </c>
      <c r="J636" s="433"/>
      <c r="K636" s="434">
        <f>I636-J636</f>
        <v>28885.87</v>
      </c>
      <c r="L636" s="428">
        <f>I636-J636</f>
        <v>28885.87</v>
      </c>
    </row>
    <row r="637" spans="2:12" outlineLevel="1" x14ac:dyDescent="0.2">
      <c r="B637" s="429"/>
      <c r="C637" s="430"/>
      <c r="D637" s="431"/>
      <c r="E637" s="432"/>
      <c r="F637" s="433"/>
      <c r="G637" s="433"/>
      <c r="H637" s="433"/>
      <c r="I637" s="433">
        <v>28886.87</v>
      </c>
      <c r="J637" s="433"/>
      <c r="K637" s="434">
        <f>I637-J637</f>
        <v>28886.87</v>
      </c>
      <c r="L637" s="428">
        <f>I637-J637</f>
        <v>28886.87</v>
      </c>
    </row>
    <row r="638" spans="2:12" outlineLevel="1" x14ac:dyDescent="0.2">
      <c r="B638" s="429"/>
      <c r="C638" s="430"/>
      <c r="D638" s="431"/>
      <c r="E638" s="432"/>
      <c r="F638" s="433"/>
      <c r="G638" s="433"/>
      <c r="H638" s="433"/>
      <c r="I638" s="433"/>
      <c r="J638" s="433"/>
      <c r="K638" s="55"/>
      <c r="L638" s="199"/>
    </row>
    <row r="639" spans="2:12" outlineLevel="1" x14ac:dyDescent="0.2">
      <c r="B639" s="429"/>
      <c r="C639" s="430"/>
      <c r="D639" s="431"/>
      <c r="E639" s="432"/>
      <c r="F639" s="433"/>
      <c r="G639" s="433"/>
      <c r="H639" s="433"/>
      <c r="I639" s="433"/>
      <c r="J639" s="433"/>
      <c r="K639" s="55"/>
      <c r="L639" s="199"/>
    </row>
    <row r="640" spans="2:12" outlineLevel="1" x14ac:dyDescent="0.2">
      <c r="B640" s="68" t="s">
        <v>768</v>
      </c>
      <c r="C640" s="360">
        <v>43349</v>
      </c>
      <c r="D640" s="363">
        <v>43349</v>
      </c>
      <c r="E640" s="364">
        <v>100</v>
      </c>
      <c r="F640" s="198">
        <v>2904.37</v>
      </c>
      <c r="G640" s="198">
        <v>25980.5</v>
      </c>
      <c r="H640" s="198"/>
      <c r="I640" s="198">
        <v>28887.87</v>
      </c>
      <c r="J640" s="198">
        <v>28887.87</v>
      </c>
      <c r="K640" s="55">
        <f>I640-J640</f>
        <v>0</v>
      </c>
      <c r="L640" s="199">
        <f>I640-J640</f>
        <v>0</v>
      </c>
    </row>
    <row r="641" spans="2:12" outlineLevel="1" x14ac:dyDescent="0.2">
      <c r="B641" s="429" t="s">
        <v>769</v>
      </c>
      <c r="C641" s="430"/>
      <c r="D641" s="431"/>
      <c r="E641" s="432"/>
      <c r="F641" s="433">
        <f>F646+F647+F648+F649+F650</f>
        <v>11852.969999999998</v>
      </c>
      <c r="G641" s="433">
        <f>G646+G647+G648+G649+G650+G651+G652+G653+G654+G655+G656+G657+G658+G659+G660+G661+G662</f>
        <v>131112.03</v>
      </c>
      <c r="H641" s="433">
        <f>H646+H647+H648+H649+H650+H651+H652+H653+H654+H655+H656+H657+H658+H659+H660+H661+H662</f>
        <v>73549.98</v>
      </c>
      <c r="I641" s="433">
        <v>216514.98</v>
      </c>
      <c r="J641" s="433">
        <v>216514.98</v>
      </c>
      <c r="K641" s="434">
        <f>I641-J641</f>
        <v>0</v>
      </c>
      <c r="L641" s="428">
        <f>I641-J641</f>
        <v>0</v>
      </c>
    </row>
    <row r="642" spans="2:12" outlineLevel="1" x14ac:dyDescent="0.2">
      <c r="B642" s="429"/>
      <c r="C642" s="430"/>
      <c r="D642" s="431"/>
      <c r="E642" s="432"/>
      <c r="F642" s="433"/>
      <c r="G642" s="433"/>
      <c r="H642" s="433"/>
      <c r="I642" s="433"/>
      <c r="J642" s="433"/>
      <c r="K642" s="434">
        <f>I642-J642</f>
        <v>0</v>
      </c>
      <c r="L642" s="428">
        <f>I642-J642</f>
        <v>0</v>
      </c>
    </row>
    <row r="643" spans="2:12" outlineLevel="1" x14ac:dyDescent="0.2">
      <c r="B643" s="429"/>
      <c r="C643" s="430"/>
      <c r="D643" s="431"/>
      <c r="E643" s="432"/>
      <c r="F643" s="433"/>
      <c r="G643" s="433"/>
      <c r="H643" s="433"/>
      <c r="I643" s="433"/>
      <c r="J643" s="433"/>
      <c r="K643" s="55"/>
      <c r="L643" s="199"/>
    </row>
    <row r="644" spans="2:12" outlineLevel="1" x14ac:dyDescent="0.2">
      <c r="B644" s="429"/>
      <c r="C644" s="430"/>
      <c r="D644" s="431"/>
      <c r="E644" s="432"/>
      <c r="F644" s="433"/>
      <c r="G644" s="433"/>
      <c r="H644" s="433"/>
      <c r="I644" s="433"/>
      <c r="J644" s="433"/>
      <c r="K644" s="55"/>
      <c r="L644" s="199"/>
    </row>
    <row r="645" spans="2:12" outlineLevel="1" x14ac:dyDescent="0.2">
      <c r="B645" s="429"/>
      <c r="C645" s="430"/>
      <c r="D645" s="431"/>
      <c r="E645" s="432"/>
      <c r="F645" s="433"/>
      <c r="G645" s="433"/>
      <c r="H645" s="433"/>
      <c r="I645" s="433"/>
      <c r="J645" s="433"/>
      <c r="K645" s="55"/>
      <c r="L645" s="199"/>
    </row>
    <row r="646" spans="2:12" outlineLevel="1" x14ac:dyDescent="0.2">
      <c r="B646" s="68" t="s">
        <v>770</v>
      </c>
      <c r="C646" s="360">
        <v>43441</v>
      </c>
      <c r="D646" s="363">
        <v>43441</v>
      </c>
      <c r="E646" s="364">
        <v>100</v>
      </c>
      <c r="F646" s="198">
        <v>1334.43</v>
      </c>
      <c r="G646" s="198">
        <v>9156.39</v>
      </c>
      <c r="H646" s="198">
        <f>3718.95-5.63</f>
        <v>3713.3199999999997</v>
      </c>
      <c r="I646" s="198">
        <f>14209.77-5.63</f>
        <v>14204.140000000001</v>
      </c>
      <c r="J646" s="198">
        <f>14209.77-5.63</f>
        <v>14204.140000000001</v>
      </c>
      <c r="K646" s="55">
        <f t="shared" ref="K646:K665" si="38">I646-J646</f>
        <v>0</v>
      </c>
      <c r="L646" s="199">
        <f t="shared" ref="L646:L665" si="39">I646-J646</f>
        <v>0</v>
      </c>
    </row>
    <row r="647" spans="2:12" outlineLevel="1" x14ac:dyDescent="0.2">
      <c r="B647" s="68" t="s">
        <v>771</v>
      </c>
      <c r="C647" s="360">
        <v>43441</v>
      </c>
      <c r="D647" s="363">
        <v>43441</v>
      </c>
      <c r="E647" s="364">
        <v>100</v>
      </c>
      <c r="F647" s="198">
        <v>1334.43</v>
      </c>
      <c r="G647" s="198">
        <v>9188.6299999999992</v>
      </c>
      <c r="H647" s="198">
        <v>3718.95</v>
      </c>
      <c r="I647" s="198">
        <v>14242.01</v>
      </c>
      <c r="J647" s="198">
        <v>14242.01</v>
      </c>
      <c r="K647" s="55">
        <f t="shared" si="38"/>
        <v>0</v>
      </c>
      <c r="L647" s="199">
        <f t="shared" si="39"/>
        <v>0</v>
      </c>
    </row>
    <row r="648" spans="2:12" outlineLevel="1" x14ac:dyDescent="0.2">
      <c r="B648" s="68" t="s">
        <v>772</v>
      </c>
      <c r="C648" s="360">
        <v>43437</v>
      </c>
      <c r="D648" s="363">
        <v>43437</v>
      </c>
      <c r="E648" s="364">
        <v>100</v>
      </c>
      <c r="F648" s="198">
        <v>3061.37</v>
      </c>
      <c r="G648" s="198">
        <v>42415.85</v>
      </c>
      <c r="H648" s="198">
        <v>10372.57</v>
      </c>
      <c r="I648" s="198">
        <f>49849.79+6000</f>
        <v>55849.79</v>
      </c>
      <c r="J648" s="198">
        <f>49849.79+6000</f>
        <v>55849.79</v>
      </c>
      <c r="K648" s="55">
        <f t="shared" si="38"/>
        <v>0</v>
      </c>
      <c r="L648" s="199">
        <f t="shared" si="39"/>
        <v>0</v>
      </c>
    </row>
    <row r="649" spans="2:12" outlineLevel="1" x14ac:dyDescent="0.2">
      <c r="B649" s="68" t="s">
        <v>773</v>
      </c>
      <c r="C649" s="360">
        <v>43441</v>
      </c>
      <c r="D649" s="363">
        <v>43441</v>
      </c>
      <c r="E649" s="364">
        <v>100</v>
      </c>
      <c r="F649" s="198">
        <v>3061.37</v>
      </c>
      <c r="G649" s="198">
        <v>40668.32</v>
      </c>
      <c r="H649" s="198">
        <v>4372.57</v>
      </c>
      <c r="I649" s="198">
        <v>48102.26</v>
      </c>
      <c r="J649" s="198">
        <v>48102.26</v>
      </c>
      <c r="K649" s="55">
        <f t="shared" si="38"/>
        <v>0</v>
      </c>
      <c r="L649" s="199">
        <f t="shared" si="39"/>
        <v>0</v>
      </c>
    </row>
    <row r="650" spans="2:12" s="163" customFormat="1" ht="26.25" customHeight="1" outlineLevel="1" x14ac:dyDescent="0.2">
      <c r="B650" s="68" t="s">
        <v>774</v>
      </c>
      <c r="C650" s="360">
        <v>43447</v>
      </c>
      <c r="D650" s="363">
        <v>43447</v>
      </c>
      <c r="E650" s="364">
        <v>100</v>
      </c>
      <c r="F650" s="198">
        <v>3061.37</v>
      </c>
      <c r="G650" s="198">
        <v>29682.84</v>
      </c>
      <c r="H650" s="198">
        <v>6372.57</v>
      </c>
      <c r="I650" s="198">
        <v>39116.78</v>
      </c>
      <c r="J650" s="198">
        <v>39116.78</v>
      </c>
      <c r="K650" s="55">
        <f t="shared" si="38"/>
        <v>0</v>
      </c>
      <c r="L650" s="199">
        <f t="shared" si="39"/>
        <v>0</v>
      </c>
    </row>
    <row r="651" spans="2:12" s="163" customFormat="1" ht="31.5" customHeight="1" outlineLevel="1" x14ac:dyDescent="0.2">
      <c r="B651" s="68" t="s">
        <v>775</v>
      </c>
      <c r="C651" s="360">
        <v>43435</v>
      </c>
      <c r="D651" s="363">
        <v>43554</v>
      </c>
      <c r="E651" s="364">
        <v>30</v>
      </c>
      <c r="F651" s="198"/>
      <c r="G651" s="198"/>
      <c r="H651" s="198">
        <v>3000</v>
      </c>
      <c r="I651" s="198">
        <v>3000</v>
      </c>
      <c r="J651" s="198">
        <v>3000</v>
      </c>
      <c r="K651" s="55">
        <f t="shared" si="38"/>
        <v>0</v>
      </c>
      <c r="L651" s="199">
        <f t="shared" si="39"/>
        <v>0</v>
      </c>
    </row>
    <row r="652" spans="2:12" ht="28.5" customHeight="1" outlineLevel="1" x14ac:dyDescent="0.2">
      <c r="B652" s="68" t="s">
        <v>776</v>
      </c>
      <c r="C652" s="360">
        <v>43435</v>
      </c>
      <c r="D652" s="363">
        <v>43554</v>
      </c>
      <c r="E652" s="364">
        <v>30</v>
      </c>
      <c r="F652" s="198"/>
      <c r="G652" s="198"/>
      <c r="H652" s="198">
        <v>3000</v>
      </c>
      <c r="I652" s="198">
        <v>3000</v>
      </c>
      <c r="J652" s="198">
        <v>3000</v>
      </c>
      <c r="K652" s="55">
        <f t="shared" si="38"/>
        <v>0</v>
      </c>
      <c r="L652" s="199">
        <f t="shared" si="39"/>
        <v>0</v>
      </c>
    </row>
    <row r="653" spans="2:12" ht="27" customHeight="1" outlineLevel="1" x14ac:dyDescent="0.2">
      <c r="B653" s="68" t="s">
        <v>777</v>
      </c>
      <c r="C653" s="360">
        <v>43435</v>
      </c>
      <c r="D653" s="363">
        <v>43554</v>
      </c>
      <c r="E653" s="364">
        <v>30</v>
      </c>
      <c r="F653" s="198"/>
      <c r="G653" s="198"/>
      <c r="H653" s="198">
        <v>4000</v>
      </c>
      <c r="I653" s="198">
        <v>4000</v>
      </c>
      <c r="J653" s="198">
        <v>4000</v>
      </c>
      <c r="K653" s="55">
        <f t="shared" si="38"/>
        <v>0</v>
      </c>
      <c r="L653" s="199">
        <f t="shared" si="39"/>
        <v>0</v>
      </c>
    </row>
    <row r="654" spans="2:12" ht="27.75" customHeight="1" outlineLevel="1" x14ac:dyDescent="0.2">
      <c r="B654" s="68" t="s">
        <v>778</v>
      </c>
      <c r="C654" s="360">
        <v>43435</v>
      </c>
      <c r="D654" s="363">
        <v>43554</v>
      </c>
      <c r="E654" s="364">
        <v>30</v>
      </c>
      <c r="F654" s="198"/>
      <c r="G654" s="198"/>
      <c r="H654" s="198">
        <v>3000</v>
      </c>
      <c r="I654" s="198">
        <v>3000</v>
      </c>
      <c r="J654" s="198">
        <v>3000</v>
      </c>
      <c r="K654" s="55">
        <f t="shared" si="38"/>
        <v>0</v>
      </c>
      <c r="L654" s="199">
        <f t="shared" si="39"/>
        <v>0</v>
      </c>
    </row>
    <row r="655" spans="2:12" ht="26.25" customHeight="1" outlineLevel="1" x14ac:dyDescent="0.2">
      <c r="B655" s="68" t="s">
        <v>779</v>
      </c>
      <c r="C655" s="360">
        <v>43435</v>
      </c>
      <c r="D655" s="363">
        <v>43554</v>
      </c>
      <c r="E655" s="364">
        <v>30</v>
      </c>
      <c r="F655" s="198"/>
      <c r="G655" s="198"/>
      <c r="H655" s="198">
        <v>2000</v>
      </c>
      <c r="I655" s="198">
        <v>2000</v>
      </c>
      <c r="J655" s="198">
        <v>2000</v>
      </c>
      <c r="K655" s="55">
        <f t="shared" si="38"/>
        <v>0</v>
      </c>
      <c r="L655" s="199">
        <f t="shared" si="39"/>
        <v>0</v>
      </c>
    </row>
    <row r="656" spans="2:12" ht="27" customHeight="1" outlineLevel="1" x14ac:dyDescent="0.2">
      <c r="B656" s="68" t="s">
        <v>780</v>
      </c>
      <c r="C656" s="360">
        <v>43435</v>
      </c>
      <c r="D656" s="363">
        <v>43554</v>
      </c>
      <c r="E656" s="364">
        <v>30</v>
      </c>
      <c r="F656" s="198"/>
      <c r="G656" s="198"/>
      <c r="H656" s="198">
        <v>6000</v>
      </c>
      <c r="I656" s="198">
        <v>6000</v>
      </c>
      <c r="J656" s="198">
        <v>6000</v>
      </c>
      <c r="K656" s="55">
        <f t="shared" si="38"/>
        <v>0</v>
      </c>
      <c r="L656" s="199">
        <f t="shared" si="39"/>
        <v>0</v>
      </c>
    </row>
    <row r="657" spans="2:12" ht="26.25" customHeight="1" outlineLevel="1" x14ac:dyDescent="0.2">
      <c r="B657" s="68" t="s">
        <v>781</v>
      </c>
      <c r="C657" s="360">
        <v>43435</v>
      </c>
      <c r="D657" s="363">
        <v>43554</v>
      </c>
      <c r="E657" s="364">
        <v>30</v>
      </c>
      <c r="F657" s="198"/>
      <c r="G657" s="198"/>
      <c r="H657" s="198">
        <v>3000</v>
      </c>
      <c r="I657" s="198">
        <v>3000</v>
      </c>
      <c r="J657" s="198">
        <v>3000</v>
      </c>
      <c r="K657" s="55">
        <f t="shared" si="38"/>
        <v>0</v>
      </c>
      <c r="L657" s="199">
        <f t="shared" si="39"/>
        <v>0</v>
      </c>
    </row>
    <row r="658" spans="2:12" outlineLevel="1" x14ac:dyDescent="0.2">
      <c r="B658" s="68" t="s">
        <v>782</v>
      </c>
      <c r="C658" s="360">
        <v>43435</v>
      </c>
      <c r="D658" s="363">
        <v>43554</v>
      </c>
      <c r="E658" s="364">
        <v>30</v>
      </c>
      <c r="F658" s="198"/>
      <c r="G658" s="198"/>
      <c r="H658" s="198">
        <v>6000</v>
      </c>
      <c r="I658" s="198">
        <v>6000</v>
      </c>
      <c r="J658" s="198">
        <v>6000</v>
      </c>
      <c r="K658" s="55">
        <f t="shared" si="38"/>
        <v>0</v>
      </c>
      <c r="L658" s="199">
        <f t="shared" si="39"/>
        <v>0</v>
      </c>
    </row>
    <row r="659" spans="2:12" outlineLevel="1" x14ac:dyDescent="0.2">
      <c r="B659" s="68" t="s">
        <v>783</v>
      </c>
      <c r="C659" s="360">
        <v>43435</v>
      </c>
      <c r="D659" s="363">
        <v>43554</v>
      </c>
      <c r="E659" s="364">
        <v>30</v>
      </c>
      <c r="F659" s="198"/>
      <c r="G659" s="198"/>
      <c r="H659" s="198">
        <v>4000</v>
      </c>
      <c r="I659" s="198">
        <v>4000</v>
      </c>
      <c r="J659" s="198">
        <v>4000</v>
      </c>
      <c r="K659" s="55">
        <f t="shared" si="38"/>
        <v>0</v>
      </c>
      <c r="L659" s="199">
        <f t="shared" si="39"/>
        <v>0</v>
      </c>
    </row>
    <row r="660" spans="2:12" outlineLevel="1" x14ac:dyDescent="0.2">
      <c r="B660" s="68" t="s">
        <v>784</v>
      </c>
      <c r="C660" s="360">
        <v>43435</v>
      </c>
      <c r="D660" s="363">
        <v>43554</v>
      </c>
      <c r="E660" s="364">
        <v>30</v>
      </c>
      <c r="F660" s="198"/>
      <c r="G660" s="198"/>
      <c r="H660" s="198">
        <v>3000</v>
      </c>
      <c r="I660" s="198">
        <v>3000</v>
      </c>
      <c r="J660" s="198">
        <v>3000</v>
      </c>
      <c r="K660" s="55">
        <f t="shared" si="38"/>
        <v>0</v>
      </c>
      <c r="L660" s="199">
        <f t="shared" si="39"/>
        <v>0</v>
      </c>
    </row>
    <row r="661" spans="2:12" outlineLevel="1" x14ac:dyDescent="0.2">
      <c r="B661" s="68" t="s">
        <v>785</v>
      </c>
      <c r="C661" s="360">
        <v>43435</v>
      </c>
      <c r="D661" s="363">
        <v>43554</v>
      </c>
      <c r="E661" s="364">
        <v>30</v>
      </c>
      <c r="F661" s="198"/>
      <c r="G661" s="198"/>
      <c r="H661" s="198">
        <v>6000</v>
      </c>
      <c r="I661" s="198">
        <v>6000</v>
      </c>
      <c r="J661" s="198">
        <v>6000</v>
      </c>
      <c r="K661" s="55">
        <f t="shared" si="38"/>
        <v>0</v>
      </c>
      <c r="L661" s="199">
        <f t="shared" si="39"/>
        <v>0</v>
      </c>
    </row>
    <row r="662" spans="2:12" outlineLevel="1" x14ac:dyDescent="0.2">
      <c r="B662" s="68" t="s">
        <v>786</v>
      </c>
      <c r="C662" s="360">
        <v>43435</v>
      </c>
      <c r="D662" s="363">
        <v>43554</v>
      </c>
      <c r="E662" s="364">
        <v>30</v>
      </c>
      <c r="F662" s="198"/>
      <c r="G662" s="198"/>
      <c r="H662" s="198">
        <v>2000</v>
      </c>
      <c r="I662" s="198">
        <v>2000</v>
      </c>
      <c r="J662" s="198">
        <v>2000</v>
      </c>
      <c r="K662" s="55">
        <f t="shared" si="38"/>
        <v>0</v>
      </c>
      <c r="L662" s="199">
        <f t="shared" si="39"/>
        <v>0</v>
      </c>
    </row>
    <row r="663" spans="2:12" outlineLevel="1" x14ac:dyDescent="0.2">
      <c r="B663" s="429" t="s">
        <v>564</v>
      </c>
      <c r="C663" s="430"/>
      <c r="D663" s="431"/>
      <c r="E663" s="432"/>
      <c r="F663" s="433">
        <v>6122.74</v>
      </c>
      <c r="G663" s="433">
        <f>24691.92+13827.39</f>
        <v>38519.31</v>
      </c>
      <c r="H663" s="433">
        <v>4372.57</v>
      </c>
      <c r="I663" s="433">
        <v>49014.62</v>
      </c>
      <c r="J663" s="433">
        <v>49014.62</v>
      </c>
      <c r="K663" s="434">
        <f t="shared" si="38"/>
        <v>0</v>
      </c>
      <c r="L663" s="428">
        <f t="shared" si="39"/>
        <v>0</v>
      </c>
    </row>
    <row r="664" spans="2:12" outlineLevel="1" x14ac:dyDescent="0.2">
      <c r="B664" s="429"/>
      <c r="C664" s="430"/>
      <c r="D664" s="431"/>
      <c r="E664" s="432"/>
      <c r="F664" s="433"/>
      <c r="G664" s="433"/>
      <c r="H664" s="433"/>
      <c r="I664" s="433"/>
      <c r="J664" s="433"/>
      <c r="K664" s="434">
        <f t="shared" si="38"/>
        <v>0</v>
      </c>
      <c r="L664" s="428">
        <f t="shared" si="39"/>
        <v>0</v>
      </c>
    </row>
    <row r="665" spans="2:12" outlineLevel="1" x14ac:dyDescent="0.2">
      <c r="B665" s="429"/>
      <c r="C665" s="430"/>
      <c r="D665" s="431"/>
      <c r="E665" s="432"/>
      <c r="F665" s="433"/>
      <c r="G665" s="433"/>
      <c r="H665" s="433"/>
      <c r="I665" s="433"/>
      <c r="J665" s="433"/>
      <c r="K665" s="434">
        <f t="shared" si="38"/>
        <v>0</v>
      </c>
      <c r="L665" s="428">
        <f t="shared" si="39"/>
        <v>0</v>
      </c>
    </row>
    <row r="666" spans="2:12" outlineLevel="1" x14ac:dyDescent="0.2">
      <c r="B666" s="429"/>
      <c r="C666" s="430"/>
      <c r="D666" s="431"/>
      <c r="E666" s="432"/>
      <c r="F666" s="296"/>
      <c r="G666" s="433"/>
      <c r="H666" s="433"/>
      <c r="I666" s="433"/>
      <c r="J666" s="433"/>
      <c r="K666" s="55"/>
      <c r="L666" s="199"/>
    </row>
    <row r="667" spans="2:12" outlineLevel="1" x14ac:dyDescent="0.2">
      <c r="B667" s="429"/>
      <c r="C667" s="430"/>
      <c r="D667" s="431"/>
      <c r="E667" s="432"/>
      <c r="F667" s="297"/>
      <c r="G667" s="433"/>
      <c r="H667" s="433"/>
      <c r="I667" s="433"/>
      <c r="J667" s="433"/>
      <c r="K667" s="55"/>
      <c r="L667" s="199"/>
    </row>
    <row r="668" spans="2:12" outlineLevel="1" x14ac:dyDescent="0.2">
      <c r="B668" s="68" t="s">
        <v>787</v>
      </c>
      <c r="C668" s="360">
        <v>43405</v>
      </c>
      <c r="D668" s="363">
        <v>43407</v>
      </c>
      <c r="E668" s="364">
        <v>100</v>
      </c>
      <c r="F668" s="198">
        <v>6122.74</v>
      </c>
      <c r="G668" s="198">
        <v>38519.31</v>
      </c>
      <c r="H668" s="198">
        <v>4372.57</v>
      </c>
      <c r="I668" s="198">
        <v>49014.62</v>
      </c>
      <c r="J668" s="198">
        <v>49014.62</v>
      </c>
      <c r="K668" s="55">
        <f>I668-J668</f>
        <v>0</v>
      </c>
      <c r="L668" s="199">
        <f>I668-J668</f>
        <v>0</v>
      </c>
    </row>
    <row r="669" spans="2:12" outlineLevel="1" x14ac:dyDescent="0.2">
      <c r="B669" s="429" t="s">
        <v>565</v>
      </c>
      <c r="C669" s="430"/>
      <c r="D669" s="431"/>
      <c r="E669" s="432"/>
      <c r="F669" s="433">
        <f>F674+F675</f>
        <v>6122.74</v>
      </c>
      <c r="G669" s="433">
        <f>G674+G675</f>
        <v>51156.509999999995</v>
      </c>
      <c r="H669" s="433">
        <f>H674+H675</f>
        <v>8781.630000000001</v>
      </c>
      <c r="I669" s="433">
        <v>66060.88</v>
      </c>
      <c r="J669" s="433">
        <v>66060.88</v>
      </c>
      <c r="K669" s="434">
        <f>I669-J669</f>
        <v>0</v>
      </c>
      <c r="L669" s="428">
        <f>I669-J669</f>
        <v>0</v>
      </c>
    </row>
    <row r="670" spans="2:12" outlineLevel="1" x14ac:dyDescent="0.2">
      <c r="B670" s="429"/>
      <c r="C670" s="430"/>
      <c r="D670" s="431"/>
      <c r="E670" s="432"/>
      <c r="F670" s="433"/>
      <c r="G670" s="433"/>
      <c r="H670" s="433"/>
      <c r="I670" s="433"/>
      <c r="J670" s="433"/>
      <c r="K670" s="434">
        <f>I670-J670</f>
        <v>0</v>
      </c>
      <c r="L670" s="428">
        <f>I670-J670</f>
        <v>0</v>
      </c>
    </row>
    <row r="671" spans="2:12" outlineLevel="1" x14ac:dyDescent="0.2">
      <c r="B671" s="429"/>
      <c r="C671" s="430"/>
      <c r="D671" s="431"/>
      <c r="E671" s="432"/>
      <c r="F671" s="433"/>
      <c r="G671" s="433"/>
      <c r="H671" s="433"/>
      <c r="I671" s="433"/>
      <c r="J671" s="433"/>
      <c r="K671" s="55"/>
      <c r="L671" s="199"/>
    </row>
    <row r="672" spans="2:12" outlineLevel="1" x14ac:dyDescent="0.2">
      <c r="B672" s="429"/>
      <c r="C672" s="430"/>
      <c r="D672" s="431"/>
      <c r="E672" s="432"/>
      <c r="F672" s="433"/>
      <c r="G672" s="433"/>
      <c r="H672" s="433"/>
      <c r="I672" s="433"/>
      <c r="J672" s="433"/>
      <c r="K672" s="55"/>
      <c r="L672" s="199"/>
    </row>
    <row r="673" spans="2:12" s="163" customFormat="1" ht="24.75" customHeight="1" outlineLevel="1" x14ac:dyDescent="0.2">
      <c r="B673" s="429"/>
      <c r="C673" s="430"/>
      <c r="D673" s="431"/>
      <c r="E673" s="432"/>
      <c r="F673" s="433"/>
      <c r="G673" s="433"/>
      <c r="H673" s="433"/>
      <c r="I673" s="433"/>
      <c r="J673" s="433"/>
      <c r="K673" s="55"/>
      <c r="L673" s="199"/>
    </row>
    <row r="674" spans="2:12" ht="41.25" customHeight="1" outlineLevel="1" x14ac:dyDescent="0.2">
      <c r="B674" s="68" t="s">
        <v>788</v>
      </c>
      <c r="C674" s="360">
        <v>43313</v>
      </c>
      <c r="D674" s="363">
        <v>43315</v>
      </c>
      <c r="E674" s="364">
        <v>100</v>
      </c>
      <c r="F674" s="198">
        <v>3061.37</v>
      </c>
      <c r="G674" s="198">
        <v>28827.69</v>
      </c>
      <c r="H674" s="198">
        <v>4405.7</v>
      </c>
      <c r="I674" s="198">
        <v>36294.76</v>
      </c>
      <c r="J674" s="198">
        <v>36294.76</v>
      </c>
      <c r="K674" s="55">
        <f>I674-J674</f>
        <v>0</v>
      </c>
      <c r="L674" s="199">
        <f>I674-J674</f>
        <v>0</v>
      </c>
    </row>
    <row r="675" spans="2:12" outlineLevel="1" x14ac:dyDescent="0.2">
      <c r="B675" s="68" t="s">
        <v>789</v>
      </c>
      <c r="C675" s="360">
        <v>43437</v>
      </c>
      <c r="D675" s="363">
        <v>43439</v>
      </c>
      <c r="E675" s="364">
        <v>100</v>
      </c>
      <c r="F675" s="198">
        <v>3061.37</v>
      </c>
      <c r="G675" s="198">
        <v>22328.82</v>
      </c>
      <c r="H675" s="198">
        <v>4375.93</v>
      </c>
      <c r="I675" s="198">
        <f>29762.76+3.36</f>
        <v>29766.12</v>
      </c>
      <c r="J675" s="198">
        <f>29762.76+3.36</f>
        <v>29766.12</v>
      </c>
      <c r="K675" s="55">
        <f>I675-J675</f>
        <v>0</v>
      </c>
      <c r="L675" s="199">
        <f>I675-J675</f>
        <v>0</v>
      </c>
    </row>
    <row r="676" spans="2:12" ht="33" customHeight="1" outlineLevel="1" x14ac:dyDescent="0.2">
      <c r="B676" s="429" t="s">
        <v>790</v>
      </c>
      <c r="C676" s="430"/>
      <c r="D676" s="431"/>
      <c r="E676" s="432"/>
      <c r="F676" s="433">
        <f>F681</f>
        <v>3061.37</v>
      </c>
      <c r="G676" s="433">
        <f>G681</f>
        <v>35244.94</v>
      </c>
      <c r="H676" s="433">
        <f>H681+H682</f>
        <v>14000</v>
      </c>
      <c r="I676" s="433">
        <v>52306.31</v>
      </c>
      <c r="J676" s="433">
        <v>52306.31</v>
      </c>
      <c r="K676" s="434">
        <f>I676-J676</f>
        <v>0</v>
      </c>
      <c r="L676" s="428">
        <f>I676-J676</f>
        <v>0</v>
      </c>
    </row>
    <row r="677" spans="2:12" ht="29.25" customHeight="1" outlineLevel="1" x14ac:dyDescent="0.2">
      <c r="B677" s="429"/>
      <c r="C677" s="430"/>
      <c r="D677" s="431"/>
      <c r="E677" s="432"/>
      <c r="F677" s="433"/>
      <c r="G677" s="433"/>
      <c r="H677" s="433"/>
      <c r="I677" s="433"/>
      <c r="J677" s="433"/>
      <c r="K677" s="434">
        <f>I677-J677</f>
        <v>0</v>
      </c>
      <c r="L677" s="428">
        <f>I677-J677</f>
        <v>0</v>
      </c>
    </row>
    <row r="678" spans="2:12" ht="27.75" customHeight="1" outlineLevel="1" x14ac:dyDescent="0.2">
      <c r="B678" s="429"/>
      <c r="C678" s="430"/>
      <c r="D678" s="431"/>
      <c r="E678" s="432"/>
      <c r="F678" s="433"/>
      <c r="G678" s="433"/>
      <c r="H678" s="433"/>
      <c r="I678" s="433"/>
      <c r="J678" s="433"/>
      <c r="K678" s="55"/>
      <c r="L678" s="199"/>
    </row>
    <row r="679" spans="2:12" ht="30.75" customHeight="1" outlineLevel="1" x14ac:dyDescent="0.2">
      <c r="B679" s="429"/>
      <c r="C679" s="430"/>
      <c r="D679" s="431"/>
      <c r="E679" s="432"/>
      <c r="F679" s="433"/>
      <c r="G679" s="433"/>
      <c r="H679" s="433"/>
      <c r="I679" s="433"/>
      <c r="J679" s="433"/>
      <c r="K679" s="55"/>
      <c r="L679" s="199"/>
    </row>
    <row r="680" spans="2:12" ht="30" customHeight="1" outlineLevel="1" x14ac:dyDescent="0.2">
      <c r="B680" s="429"/>
      <c r="C680" s="430"/>
      <c r="D680" s="431"/>
      <c r="E680" s="432"/>
      <c r="F680" s="433"/>
      <c r="G680" s="433"/>
      <c r="H680" s="433"/>
      <c r="I680" s="433"/>
      <c r="J680" s="433"/>
      <c r="K680" s="55"/>
      <c r="L680" s="199"/>
    </row>
    <row r="681" spans="2:12" ht="36.75" customHeight="1" outlineLevel="1" x14ac:dyDescent="0.2">
      <c r="B681" s="68" t="s">
        <v>791</v>
      </c>
      <c r="C681" s="360">
        <v>42661</v>
      </c>
      <c r="D681" s="363">
        <v>42692</v>
      </c>
      <c r="E681" s="364">
        <v>100</v>
      </c>
      <c r="F681" s="198">
        <v>3061.37</v>
      </c>
      <c r="G681" s="198">
        <v>35244.94</v>
      </c>
      <c r="H681" s="198"/>
      <c r="I681" s="198">
        <v>38306.31</v>
      </c>
      <c r="J681" s="198">
        <v>38306.31</v>
      </c>
      <c r="K681" s="55">
        <f>I681-J681</f>
        <v>0</v>
      </c>
      <c r="L681" s="199">
        <f>I681-J681</f>
        <v>0</v>
      </c>
    </row>
    <row r="682" spans="2:12" ht="43.5" customHeight="1" outlineLevel="1" x14ac:dyDescent="0.2">
      <c r="B682" s="68" t="s">
        <v>792</v>
      </c>
      <c r="C682" s="360">
        <v>43435</v>
      </c>
      <c r="D682" s="363">
        <v>43554</v>
      </c>
      <c r="E682" s="364">
        <v>30</v>
      </c>
      <c r="F682" s="198"/>
      <c r="G682" s="198"/>
      <c r="H682" s="198">
        <v>14000</v>
      </c>
      <c r="I682" s="198">
        <v>14000</v>
      </c>
      <c r="J682" s="198">
        <v>14000</v>
      </c>
      <c r="K682" s="55">
        <f>I682-J682</f>
        <v>0</v>
      </c>
      <c r="L682" s="199">
        <f>I682-J682</f>
        <v>0</v>
      </c>
    </row>
    <row r="683" spans="2:12" ht="32.25" customHeight="1" outlineLevel="1" x14ac:dyDescent="0.2">
      <c r="B683" s="429" t="s">
        <v>793</v>
      </c>
      <c r="C683" s="430"/>
      <c r="D683" s="431"/>
      <c r="E683" s="432"/>
      <c r="F683" s="433">
        <f>F688</f>
        <v>3061.37</v>
      </c>
      <c r="G683" s="433">
        <f>G688</f>
        <v>31262.26</v>
      </c>
      <c r="H683" s="433">
        <f>H688+H689</f>
        <v>6375.95</v>
      </c>
      <c r="I683" s="433">
        <v>40699.58</v>
      </c>
      <c r="J683" s="433">
        <v>40699.58</v>
      </c>
      <c r="K683" s="434">
        <f>I683-J683</f>
        <v>0</v>
      </c>
      <c r="L683" s="428">
        <f>I683-J683</f>
        <v>0</v>
      </c>
    </row>
    <row r="684" spans="2:12" ht="36" customHeight="1" outlineLevel="1" x14ac:dyDescent="0.2">
      <c r="B684" s="429"/>
      <c r="C684" s="430"/>
      <c r="D684" s="431"/>
      <c r="E684" s="432"/>
      <c r="F684" s="433"/>
      <c r="G684" s="433"/>
      <c r="H684" s="433"/>
      <c r="I684" s="433"/>
      <c r="J684" s="433"/>
      <c r="K684" s="434">
        <f>I684-J684</f>
        <v>0</v>
      </c>
      <c r="L684" s="428">
        <f>I684-J684</f>
        <v>0</v>
      </c>
    </row>
    <row r="685" spans="2:12" ht="33" customHeight="1" outlineLevel="1" x14ac:dyDescent="0.2">
      <c r="B685" s="429"/>
      <c r="C685" s="430"/>
      <c r="D685" s="431"/>
      <c r="E685" s="432"/>
      <c r="F685" s="433"/>
      <c r="G685" s="433"/>
      <c r="H685" s="433"/>
      <c r="I685" s="433"/>
      <c r="J685" s="433"/>
      <c r="K685" s="55"/>
      <c r="L685" s="199"/>
    </row>
    <row r="686" spans="2:12" outlineLevel="1" x14ac:dyDescent="0.2">
      <c r="B686" s="429"/>
      <c r="C686" s="430"/>
      <c r="D686" s="431"/>
      <c r="E686" s="432"/>
      <c r="F686" s="433"/>
      <c r="G686" s="433"/>
      <c r="H686" s="433"/>
      <c r="I686" s="433"/>
      <c r="J686" s="433"/>
      <c r="K686" s="55"/>
      <c r="L686" s="199"/>
    </row>
    <row r="687" spans="2:12" ht="35.25" customHeight="1" outlineLevel="1" x14ac:dyDescent="0.2">
      <c r="B687" s="429"/>
      <c r="C687" s="430"/>
      <c r="D687" s="431"/>
      <c r="E687" s="432"/>
      <c r="F687" s="433"/>
      <c r="G687" s="433"/>
      <c r="H687" s="433"/>
      <c r="I687" s="433"/>
      <c r="J687" s="433"/>
      <c r="K687" s="55"/>
      <c r="L687" s="199"/>
    </row>
    <row r="688" spans="2:12" ht="32.25" customHeight="1" outlineLevel="1" x14ac:dyDescent="0.2">
      <c r="B688" s="68" t="s">
        <v>794</v>
      </c>
      <c r="C688" s="360">
        <v>43437</v>
      </c>
      <c r="D688" s="363">
        <v>43439</v>
      </c>
      <c r="E688" s="364">
        <v>100</v>
      </c>
      <c r="F688" s="198">
        <v>3061.37</v>
      </c>
      <c r="G688" s="198">
        <v>31262.26</v>
      </c>
      <c r="H688" s="198">
        <v>4375.95</v>
      </c>
      <c r="I688" s="198">
        <v>38699.58</v>
      </c>
      <c r="J688" s="198">
        <v>38699.58</v>
      </c>
      <c r="K688" s="55">
        <f t="shared" ref="K688:K693" si="40">I688-J688</f>
        <v>0</v>
      </c>
      <c r="L688" s="199">
        <f t="shared" ref="L688:L693" si="41">I688-J688</f>
        <v>0</v>
      </c>
    </row>
    <row r="689" spans="2:12" ht="32.25" customHeight="1" outlineLevel="1" x14ac:dyDescent="0.2">
      <c r="B689" s="68" t="s">
        <v>795</v>
      </c>
      <c r="C689" s="360">
        <v>43435</v>
      </c>
      <c r="D689" s="363">
        <v>43554</v>
      </c>
      <c r="E689" s="364">
        <v>30</v>
      </c>
      <c r="F689" s="198"/>
      <c r="G689" s="198"/>
      <c r="H689" s="198">
        <v>2000</v>
      </c>
      <c r="I689" s="198">
        <v>2000</v>
      </c>
      <c r="J689" s="198">
        <v>2000</v>
      </c>
      <c r="K689" s="55">
        <f t="shared" si="40"/>
        <v>0</v>
      </c>
      <c r="L689" s="199">
        <f t="shared" si="41"/>
        <v>0</v>
      </c>
    </row>
    <row r="690" spans="2:12" ht="49.5" customHeight="1" outlineLevel="1" x14ac:dyDescent="0.2">
      <c r="B690" s="68" t="s">
        <v>796</v>
      </c>
      <c r="C690" s="360">
        <v>43474</v>
      </c>
      <c r="D690" s="363">
        <v>43477</v>
      </c>
      <c r="E690" s="364">
        <v>100</v>
      </c>
      <c r="F690" s="198"/>
      <c r="G690" s="198"/>
      <c r="H690" s="198">
        <v>5000</v>
      </c>
      <c r="I690" s="198">
        <v>5000</v>
      </c>
      <c r="J690" s="198">
        <v>5000</v>
      </c>
      <c r="K690" s="55">
        <f t="shared" si="40"/>
        <v>0</v>
      </c>
      <c r="L690" s="199">
        <f t="shared" si="41"/>
        <v>0</v>
      </c>
    </row>
    <row r="691" spans="2:12" ht="29.25" customHeight="1" outlineLevel="1" x14ac:dyDescent="0.2">
      <c r="B691" s="429" t="s">
        <v>797</v>
      </c>
      <c r="C691" s="430" t="s">
        <v>798</v>
      </c>
      <c r="D691" s="431">
        <v>43479</v>
      </c>
      <c r="E691" s="432">
        <v>90</v>
      </c>
      <c r="F691" s="433"/>
      <c r="G691" s="433">
        <v>44333</v>
      </c>
      <c r="H691" s="433"/>
      <c r="I691" s="433">
        <v>44333</v>
      </c>
      <c r="J691" s="433">
        <v>44333</v>
      </c>
      <c r="K691" s="434">
        <f t="shared" si="40"/>
        <v>0</v>
      </c>
      <c r="L691" s="428">
        <f t="shared" si="41"/>
        <v>0</v>
      </c>
    </row>
    <row r="692" spans="2:12" ht="35.25" customHeight="1" outlineLevel="1" x14ac:dyDescent="0.2">
      <c r="B692" s="429"/>
      <c r="C692" s="430"/>
      <c r="D692" s="431"/>
      <c r="E692" s="432"/>
      <c r="F692" s="433"/>
      <c r="G692" s="433"/>
      <c r="H692" s="433"/>
      <c r="I692" s="433"/>
      <c r="J692" s="433"/>
      <c r="K692" s="434">
        <f t="shared" si="40"/>
        <v>0</v>
      </c>
      <c r="L692" s="428">
        <f t="shared" si="41"/>
        <v>0</v>
      </c>
    </row>
    <row r="693" spans="2:12" ht="35.25" customHeight="1" outlineLevel="1" x14ac:dyDescent="0.2">
      <c r="B693" s="429"/>
      <c r="C693" s="430"/>
      <c r="D693" s="431"/>
      <c r="E693" s="432"/>
      <c r="F693" s="433"/>
      <c r="G693" s="433"/>
      <c r="H693" s="433"/>
      <c r="I693" s="433"/>
      <c r="J693" s="433"/>
      <c r="K693" s="434">
        <f t="shared" si="40"/>
        <v>0</v>
      </c>
      <c r="L693" s="428">
        <f t="shared" si="41"/>
        <v>0</v>
      </c>
    </row>
    <row r="694" spans="2:12" ht="35.25" customHeight="1" outlineLevel="1" x14ac:dyDescent="0.2">
      <c r="B694" s="429"/>
      <c r="C694" s="430"/>
      <c r="D694" s="431"/>
      <c r="E694" s="432"/>
      <c r="F694" s="433"/>
      <c r="G694" s="433"/>
      <c r="H694" s="433"/>
      <c r="I694" s="433"/>
      <c r="J694" s="433"/>
      <c r="K694" s="55"/>
      <c r="L694" s="199"/>
    </row>
    <row r="695" spans="2:12" ht="35.25" customHeight="1" outlineLevel="1" x14ac:dyDescent="0.2">
      <c r="B695" s="429"/>
      <c r="C695" s="430"/>
      <c r="D695" s="431"/>
      <c r="E695" s="432"/>
      <c r="F695" s="433"/>
      <c r="G695" s="433"/>
      <c r="H695" s="433"/>
      <c r="I695" s="433"/>
      <c r="J695" s="433"/>
      <c r="K695" s="55"/>
      <c r="L695" s="199"/>
    </row>
    <row r="696" spans="2:12" outlineLevel="1" x14ac:dyDescent="0.2">
      <c r="B696" s="429" t="s">
        <v>799</v>
      </c>
      <c r="C696" s="430">
        <v>43347</v>
      </c>
      <c r="D696" s="431" t="s">
        <v>800</v>
      </c>
      <c r="E696" s="432">
        <v>85</v>
      </c>
      <c r="F696" s="433"/>
      <c r="G696" s="433">
        <v>44409</v>
      </c>
      <c r="H696" s="433"/>
      <c r="I696" s="433">
        <v>44409</v>
      </c>
      <c r="J696" s="433">
        <v>44409</v>
      </c>
      <c r="K696" s="434">
        <f>I696-J696</f>
        <v>0</v>
      </c>
      <c r="L696" s="428">
        <f>I696-J696</f>
        <v>0</v>
      </c>
    </row>
    <row r="697" spans="2:12" outlineLevel="1" x14ac:dyDescent="0.2">
      <c r="B697" s="429"/>
      <c r="C697" s="430"/>
      <c r="D697" s="431"/>
      <c r="E697" s="432"/>
      <c r="F697" s="433"/>
      <c r="G697" s="433"/>
      <c r="H697" s="433"/>
      <c r="I697" s="433"/>
      <c r="J697" s="433"/>
      <c r="K697" s="434">
        <f>I697-J697</f>
        <v>0</v>
      </c>
      <c r="L697" s="428">
        <f>I697-J697</f>
        <v>0</v>
      </c>
    </row>
    <row r="698" spans="2:12" ht="35.25" customHeight="1" outlineLevel="1" x14ac:dyDescent="0.2">
      <c r="B698" s="429"/>
      <c r="C698" s="430"/>
      <c r="D698" s="431"/>
      <c r="E698" s="432"/>
      <c r="F698" s="433"/>
      <c r="G698" s="433"/>
      <c r="H698" s="433"/>
      <c r="I698" s="433"/>
      <c r="J698" s="433"/>
      <c r="K698" s="434">
        <f>I698-J698</f>
        <v>0</v>
      </c>
      <c r="L698" s="428">
        <f>I698-J698</f>
        <v>0</v>
      </c>
    </row>
    <row r="699" spans="2:12" ht="35.25" customHeight="1" outlineLevel="1" x14ac:dyDescent="0.2">
      <c r="B699" s="429"/>
      <c r="C699" s="430"/>
      <c r="D699" s="431"/>
      <c r="E699" s="432"/>
      <c r="F699" s="433"/>
      <c r="G699" s="433"/>
      <c r="H699" s="433"/>
      <c r="I699" s="433"/>
      <c r="J699" s="433"/>
      <c r="K699" s="55"/>
      <c r="L699" s="199"/>
    </row>
    <row r="700" spans="2:12" ht="35.25" customHeight="1" outlineLevel="1" x14ac:dyDescent="0.2">
      <c r="B700" s="429"/>
      <c r="C700" s="430"/>
      <c r="D700" s="431"/>
      <c r="E700" s="432"/>
      <c r="F700" s="433"/>
      <c r="G700" s="433"/>
      <c r="H700" s="433"/>
      <c r="I700" s="433"/>
      <c r="J700" s="433"/>
      <c r="K700" s="55"/>
      <c r="L700" s="199"/>
    </row>
    <row r="701" spans="2:12" ht="35.25" customHeight="1" outlineLevel="1" x14ac:dyDescent="0.2">
      <c r="B701" s="429" t="s">
        <v>801</v>
      </c>
      <c r="C701" s="430">
        <v>43195</v>
      </c>
      <c r="D701" s="431">
        <v>43476</v>
      </c>
      <c r="E701" s="432">
        <v>95</v>
      </c>
      <c r="F701" s="433"/>
      <c r="G701" s="433">
        <v>98430</v>
      </c>
      <c r="H701" s="433"/>
      <c r="I701" s="433">
        <v>98430</v>
      </c>
      <c r="J701" s="433">
        <v>98430</v>
      </c>
      <c r="K701" s="434">
        <f>I701-J701</f>
        <v>0</v>
      </c>
      <c r="L701" s="428">
        <f>I701-J701</f>
        <v>0</v>
      </c>
    </row>
    <row r="702" spans="2:12" ht="31.5" customHeight="1" outlineLevel="1" x14ac:dyDescent="0.2">
      <c r="B702" s="429"/>
      <c r="C702" s="430"/>
      <c r="D702" s="431"/>
      <c r="E702" s="432"/>
      <c r="F702" s="433"/>
      <c r="G702" s="433"/>
      <c r="H702" s="433"/>
      <c r="I702" s="433"/>
      <c r="J702" s="433"/>
      <c r="K702" s="434">
        <f>I702-J702</f>
        <v>0</v>
      </c>
      <c r="L702" s="428">
        <f>I702-J702</f>
        <v>0</v>
      </c>
    </row>
    <row r="703" spans="2:12" ht="31.5" customHeight="1" outlineLevel="1" x14ac:dyDescent="0.2">
      <c r="B703" s="429"/>
      <c r="C703" s="430"/>
      <c r="D703" s="431"/>
      <c r="E703" s="432"/>
      <c r="F703" s="433"/>
      <c r="G703" s="433"/>
      <c r="H703" s="433"/>
      <c r="I703" s="433"/>
      <c r="J703" s="433"/>
      <c r="K703" s="434">
        <f>I703-J703</f>
        <v>0</v>
      </c>
      <c r="L703" s="428">
        <f>I703-J703</f>
        <v>0</v>
      </c>
    </row>
    <row r="704" spans="2:12" ht="30" customHeight="1" outlineLevel="1" x14ac:dyDescent="0.2">
      <c r="B704" s="429"/>
      <c r="C704" s="430"/>
      <c r="D704" s="431"/>
      <c r="E704" s="432"/>
      <c r="F704" s="433"/>
      <c r="G704" s="433"/>
      <c r="H704" s="433"/>
      <c r="I704" s="433"/>
      <c r="J704" s="433"/>
      <c r="K704" s="55"/>
      <c r="L704" s="199"/>
    </row>
    <row r="705" spans="2:12" s="163" customFormat="1" ht="25.5" customHeight="1" outlineLevel="1" x14ac:dyDescent="0.2">
      <c r="B705" s="429"/>
      <c r="C705" s="430"/>
      <c r="D705" s="431"/>
      <c r="E705" s="432"/>
      <c r="F705" s="433"/>
      <c r="G705" s="433"/>
      <c r="H705" s="433"/>
      <c r="I705" s="433"/>
      <c r="J705" s="433"/>
      <c r="K705" s="55"/>
      <c r="L705" s="199"/>
    </row>
    <row r="706" spans="2:12" ht="51.75" customHeight="1" outlineLevel="1" x14ac:dyDescent="0.2">
      <c r="B706" s="68" t="s">
        <v>802</v>
      </c>
      <c r="C706" s="360">
        <v>43259</v>
      </c>
      <c r="D706" s="363">
        <v>43479</v>
      </c>
      <c r="E706" s="364">
        <v>90</v>
      </c>
      <c r="F706" s="198"/>
      <c r="G706" s="198">
        <v>83183</v>
      </c>
      <c r="H706" s="198"/>
      <c r="I706" s="198">
        <v>83183</v>
      </c>
      <c r="J706" s="198">
        <v>83183</v>
      </c>
      <c r="K706" s="55">
        <f>I706-J706</f>
        <v>0</v>
      </c>
      <c r="L706" s="199">
        <f>I706-J706</f>
        <v>0</v>
      </c>
    </row>
    <row r="707" spans="2:12" s="163" customFormat="1" ht="18.75" customHeight="1" x14ac:dyDescent="0.2">
      <c r="B707" s="59"/>
      <c r="C707" s="363"/>
      <c r="D707" s="363"/>
      <c r="E707" s="364"/>
      <c r="F707" s="202">
        <f t="shared" ref="F707:H707" si="42">F555+F556+F557+F558+F559+F560+F565+F570+F575+F579+F581+F586+F591+F596+F601+F609+F621+F625+F635+F641+F663+F669+F676+F683+F690+F691+F696+F701+F706</f>
        <v>165460.34999999995</v>
      </c>
      <c r="G707" s="202">
        <f t="shared" si="42"/>
        <v>1384259.34</v>
      </c>
      <c r="H707" s="202">
        <f t="shared" si="42"/>
        <v>268861.19</v>
      </c>
      <c r="I707" s="202">
        <f>I555+I556+I557+I558+I559+I560+I565+I570+I575+I579+I581+I586+I591+I596+I601+I609+I621+I625+I635+I641+I663+I669+I676+I683+I690+I691+I696+I701+I706</f>
        <v>1818580.8800000004</v>
      </c>
      <c r="J707" s="202">
        <f>J555+J556+J557+J558+J559+J560+J565+J570+J575+J579+J581+J586+J591+J596+J601+J609+J621+J625+J635+J641+J663+J669+J676+J683+J690+J691+J696+J701+J706</f>
        <v>1818580.8800000004</v>
      </c>
      <c r="K707" s="201">
        <f>K555+K556+K557+K558+K559+K560+K565+K570+K575+K579+K581+K586+K591+K596+K601+K609+K621+K625+K635+K641+K663+K669+K676+K683+K690+K691+K696+K701+K706</f>
        <v>0</v>
      </c>
      <c r="L707" s="203">
        <f>L555+L556+L557+L558+L559+L560+L565+L570+L575+L579+L581+L586+L591+L596+L601+L609+L621+L625+L635+L641+L663+L669+L676+L683+L690+L691+L696+L701+L706</f>
        <v>0</v>
      </c>
    </row>
    <row r="708" spans="2:12" s="163" customFormat="1" ht="11.25" customHeight="1" x14ac:dyDescent="0.2">
      <c r="B708" s="110"/>
      <c r="C708" s="358"/>
      <c r="D708" s="358"/>
      <c r="E708" s="359"/>
      <c r="F708" s="129"/>
      <c r="G708" s="129"/>
      <c r="H708" s="129"/>
      <c r="I708" s="129"/>
      <c r="J708" s="129"/>
      <c r="K708" s="18"/>
      <c r="L708" s="204"/>
    </row>
    <row r="709" spans="2:12" ht="31.5" customHeight="1" x14ac:dyDescent="0.2">
      <c r="B709" s="58" t="s">
        <v>804</v>
      </c>
      <c r="C709" s="349"/>
      <c r="D709" s="348"/>
      <c r="E709" s="365"/>
      <c r="F709" s="241"/>
      <c r="G709" s="241"/>
      <c r="H709" s="241"/>
      <c r="I709" s="130"/>
      <c r="J709" s="130"/>
      <c r="K709" s="205"/>
      <c r="L709" s="206"/>
    </row>
    <row r="710" spans="2:12" ht="31.5" hidden="1" customHeight="1" outlineLevel="1" x14ac:dyDescent="0.2">
      <c r="B710" s="7" t="s">
        <v>168</v>
      </c>
      <c r="C710" s="314">
        <v>42674</v>
      </c>
      <c r="D710" s="315">
        <v>43529</v>
      </c>
      <c r="E710" s="242">
        <v>20</v>
      </c>
      <c r="F710" s="241">
        <v>43496.76</v>
      </c>
      <c r="G710" s="241"/>
      <c r="H710" s="241"/>
      <c r="I710" s="124">
        <f>G710+F710+H710</f>
        <v>43496.76</v>
      </c>
      <c r="J710" s="130">
        <f>I710</f>
        <v>43496.76</v>
      </c>
      <c r="K710" s="205"/>
      <c r="L710" s="206"/>
    </row>
    <row r="711" spans="2:12" ht="15.75" customHeight="1" collapsed="1" x14ac:dyDescent="0.2">
      <c r="B711" s="5"/>
      <c r="C711" s="315"/>
      <c r="D711" s="315"/>
      <c r="E711" s="352"/>
      <c r="F711" s="124">
        <f t="shared" ref="F711:H711" si="43">SUM(F710:F710)</f>
        <v>43496.76</v>
      </c>
      <c r="G711" s="124">
        <f t="shared" si="43"/>
        <v>0</v>
      </c>
      <c r="H711" s="124">
        <f t="shared" si="43"/>
        <v>0</v>
      </c>
      <c r="I711" s="124">
        <f>SUM(I710:I710)</f>
        <v>43496.76</v>
      </c>
      <c r="J711" s="124">
        <f>SUM(J710:J710)</f>
        <v>43496.76</v>
      </c>
      <c r="K711" s="205"/>
      <c r="L711" s="206"/>
    </row>
    <row r="712" spans="2:12" ht="14.25" customHeight="1" x14ac:dyDescent="0.2">
      <c r="B712" s="101"/>
      <c r="C712" s="316"/>
      <c r="D712" s="316"/>
      <c r="E712" s="356"/>
      <c r="F712" s="126"/>
      <c r="G712" s="126"/>
      <c r="H712" s="126"/>
      <c r="I712" s="126"/>
      <c r="J712" s="126"/>
      <c r="K712" s="207"/>
      <c r="L712" s="208"/>
    </row>
    <row r="713" spans="2:12" ht="31.5" customHeight="1" x14ac:dyDescent="0.2">
      <c r="B713" s="58" t="s">
        <v>805</v>
      </c>
      <c r="C713" s="349"/>
      <c r="D713" s="348"/>
      <c r="E713" s="365"/>
      <c r="F713" s="241"/>
      <c r="G713" s="241"/>
      <c r="H713" s="241"/>
      <c r="I713" s="130"/>
      <c r="J713" s="130"/>
      <c r="K713" s="205"/>
      <c r="L713" s="206"/>
    </row>
    <row r="714" spans="2:12" ht="31.5" customHeight="1" outlineLevel="1" x14ac:dyDescent="0.2">
      <c r="B714" s="209" t="s">
        <v>63</v>
      </c>
      <c r="C714" s="315">
        <v>43100</v>
      </c>
      <c r="D714" s="314">
        <v>43666</v>
      </c>
      <c r="E714" s="352">
        <v>10</v>
      </c>
      <c r="F714" s="241">
        <v>7000</v>
      </c>
      <c r="G714" s="241"/>
      <c r="H714" s="241"/>
      <c r="I714" s="124">
        <f>F714+G714</f>
        <v>7000</v>
      </c>
      <c r="J714" s="124">
        <v>7000</v>
      </c>
      <c r="K714" s="49">
        <f>I714-J714</f>
        <v>0</v>
      </c>
      <c r="L714" s="56">
        <f>I714-J714</f>
        <v>0</v>
      </c>
    </row>
    <row r="715" spans="2:12" ht="31.5" customHeight="1" outlineLevel="1" x14ac:dyDescent="0.2">
      <c r="B715" s="209" t="s">
        <v>271</v>
      </c>
      <c r="C715" s="315">
        <v>43008</v>
      </c>
      <c r="D715" s="314">
        <v>43666</v>
      </c>
      <c r="E715" s="352">
        <v>10</v>
      </c>
      <c r="F715" s="241">
        <v>15000</v>
      </c>
      <c r="G715" s="241"/>
      <c r="H715" s="241"/>
      <c r="I715" s="124">
        <f>F715+G715</f>
        <v>15000</v>
      </c>
      <c r="J715" s="124">
        <v>15000</v>
      </c>
      <c r="K715" s="49">
        <f>I715-J715</f>
        <v>0</v>
      </c>
      <c r="L715" s="56">
        <f>I715-J715</f>
        <v>0</v>
      </c>
    </row>
    <row r="716" spans="2:12" ht="31.5" customHeight="1" outlineLevel="1" x14ac:dyDescent="0.2">
      <c r="B716" s="209" t="s">
        <v>64</v>
      </c>
      <c r="C716" s="315">
        <v>42644</v>
      </c>
      <c r="D716" s="314">
        <v>43554</v>
      </c>
      <c r="E716" s="352">
        <v>20</v>
      </c>
      <c r="F716" s="241">
        <v>3131.53</v>
      </c>
      <c r="G716" s="241">
        <v>48994.97</v>
      </c>
      <c r="H716" s="298"/>
      <c r="I716" s="124">
        <f>F716+G716</f>
        <v>52126.5</v>
      </c>
      <c r="J716" s="124">
        <v>52126.5</v>
      </c>
      <c r="K716" s="49">
        <f>I716-J716</f>
        <v>0</v>
      </c>
      <c r="L716" s="56">
        <f>I716-J716</f>
        <v>0</v>
      </c>
    </row>
    <row r="717" spans="2:12" ht="15.75" customHeight="1" x14ac:dyDescent="0.2">
      <c r="B717" s="61"/>
      <c r="C717" s="315"/>
      <c r="D717" s="315"/>
      <c r="E717" s="352"/>
      <c r="F717" s="124">
        <f t="shared" ref="F717:H717" si="44">SUM(F714:F716)</f>
        <v>25131.53</v>
      </c>
      <c r="G717" s="124">
        <f t="shared" si="44"/>
        <v>48994.97</v>
      </c>
      <c r="H717" s="124">
        <f t="shared" si="44"/>
        <v>0</v>
      </c>
      <c r="I717" s="124">
        <f>SUM(I714:I716)</f>
        <v>74126.5</v>
      </c>
      <c r="J717" s="124">
        <f t="shared" ref="J717:L717" si="45">SUM(J713:J716)</f>
        <v>74126.5</v>
      </c>
      <c r="K717" s="33">
        <f t="shared" si="45"/>
        <v>0</v>
      </c>
      <c r="L717" s="210">
        <f t="shared" si="45"/>
        <v>0</v>
      </c>
    </row>
    <row r="718" spans="2:12" ht="11.25" customHeight="1" x14ac:dyDescent="0.2">
      <c r="B718" s="60"/>
      <c r="C718" s="349"/>
      <c r="D718" s="348"/>
      <c r="E718" s="365"/>
      <c r="F718" s="241"/>
      <c r="G718" s="241"/>
      <c r="H718" s="241"/>
      <c r="I718" s="130"/>
      <c r="J718" s="130"/>
      <c r="K718" s="205"/>
      <c r="L718" s="206"/>
    </row>
    <row r="719" spans="2:12" ht="31.5" customHeight="1" x14ac:dyDescent="0.2">
      <c r="B719" s="50" t="s">
        <v>145</v>
      </c>
      <c r="C719" s="315"/>
      <c r="D719" s="314"/>
      <c r="E719" s="351"/>
      <c r="F719" s="138"/>
      <c r="G719" s="138"/>
      <c r="H719" s="241"/>
      <c r="I719" s="136"/>
      <c r="J719" s="130"/>
      <c r="K719" s="1"/>
      <c r="L719" s="15"/>
    </row>
    <row r="720" spans="2:12" ht="48.75" customHeight="1" outlineLevel="1" x14ac:dyDescent="0.2">
      <c r="B720" s="64" t="s">
        <v>272</v>
      </c>
      <c r="C720" s="315">
        <v>43221</v>
      </c>
      <c r="D720" s="314">
        <v>43496</v>
      </c>
      <c r="E720" s="357">
        <v>5</v>
      </c>
      <c r="F720" s="138">
        <v>5938.58</v>
      </c>
      <c r="G720" s="138"/>
      <c r="H720" s="241"/>
      <c r="I720" s="125">
        <f t="shared" ref="I720:I751" si="46">F720+G720+H720</f>
        <v>5938.58</v>
      </c>
      <c r="J720" s="231">
        <f t="shared" ref="J720:J751" si="47">I720</f>
        <v>5938.58</v>
      </c>
      <c r="K720" s="14">
        <f t="shared" ref="K720:K751" si="48">I720-J720</f>
        <v>0</v>
      </c>
      <c r="L720" s="14">
        <f t="shared" ref="L720:L751" si="49">I720-J720</f>
        <v>0</v>
      </c>
    </row>
    <row r="721" spans="2:12" ht="48" customHeight="1" outlineLevel="1" x14ac:dyDescent="0.2">
      <c r="B721" s="64" t="s">
        <v>273</v>
      </c>
      <c r="C721" s="315">
        <v>43191</v>
      </c>
      <c r="D721" s="314">
        <v>43769</v>
      </c>
      <c r="E721" s="357">
        <v>5</v>
      </c>
      <c r="F721" s="138">
        <v>2314.6</v>
      </c>
      <c r="G721" s="138"/>
      <c r="H721" s="241"/>
      <c r="I721" s="125">
        <f t="shared" si="46"/>
        <v>2314.6</v>
      </c>
      <c r="J721" s="231">
        <f t="shared" si="47"/>
        <v>2314.6</v>
      </c>
      <c r="K721" s="14">
        <f t="shared" si="48"/>
        <v>0</v>
      </c>
      <c r="L721" s="14">
        <f t="shared" si="49"/>
        <v>0</v>
      </c>
    </row>
    <row r="722" spans="2:12" ht="31.5" customHeight="1" outlineLevel="1" x14ac:dyDescent="0.2">
      <c r="B722" s="65" t="s">
        <v>806</v>
      </c>
      <c r="C722" s="315">
        <v>43374</v>
      </c>
      <c r="D722" s="314">
        <v>43769</v>
      </c>
      <c r="E722" s="357">
        <v>5</v>
      </c>
      <c r="F722" s="138">
        <v>1851.67</v>
      </c>
      <c r="G722" s="138"/>
      <c r="H722" s="241"/>
      <c r="I722" s="125">
        <f t="shared" si="46"/>
        <v>1851.67</v>
      </c>
      <c r="J722" s="231">
        <f t="shared" si="47"/>
        <v>1851.67</v>
      </c>
      <c r="K722" s="14">
        <f t="shared" si="48"/>
        <v>0</v>
      </c>
      <c r="L722" s="14">
        <f t="shared" si="49"/>
        <v>0</v>
      </c>
    </row>
    <row r="723" spans="2:12" ht="43.5" customHeight="1" outlineLevel="1" x14ac:dyDescent="0.2">
      <c r="B723" s="65" t="s">
        <v>807</v>
      </c>
      <c r="C723" s="315">
        <v>43435</v>
      </c>
      <c r="D723" s="314">
        <v>43585</v>
      </c>
      <c r="E723" s="357">
        <v>5</v>
      </c>
      <c r="F723" s="138">
        <v>2909.79</v>
      </c>
      <c r="G723" s="138"/>
      <c r="H723" s="241"/>
      <c r="I723" s="125">
        <f t="shared" si="46"/>
        <v>2909.79</v>
      </c>
      <c r="J723" s="231">
        <f t="shared" si="47"/>
        <v>2909.79</v>
      </c>
      <c r="K723" s="14">
        <f t="shared" si="48"/>
        <v>0</v>
      </c>
      <c r="L723" s="14">
        <f t="shared" si="49"/>
        <v>0</v>
      </c>
    </row>
    <row r="724" spans="2:12" ht="55.5" customHeight="1" outlineLevel="1" x14ac:dyDescent="0.2">
      <c r="B724" s="65" t="s">
        <v>808</v>
      </c>
      <c r="C724" s="315">
        <v>43435</v>
      </c>
      <c r="D724" s="314">
        <v>43585</v>
      </c>
      <c r="E724" s="357">
        <v>5</v>
      </c>
      <c r="F724" s="138">
        <v>1653.29</v>
      </c>
      <c r="G724" s="138"/>
      <c r="H724" s="241"/>
      <c r="I724" s="125">
        <f t="shared" si="46"/>
        <v>1653.29</v>
      </c>
      <c r="J724" s="231">
        <f t="shared" si="47"/>
        <v>1653.29</v>
      </c>
      <c r="K724" s="14">
        <f t="shared" si="48"/>
        <v>0</v>
      </c>
      <c r="L724" s="14">
        <f t="shared" si="49"/>
        <v>0</v>
      </c>
    </row>
    <row r="725" spans="2:12" ht="31.5" customHeight="1" outlineLevel="1" x14ac:dyDescent="0.2">
      <c r="B725" s="64" t="s">
        <v>25</v>
      </c>
      <c r="C725" s="315">
        <v>42309</v>
      </c>
      <c r="D725" s="314">
        <v>43616</v>
      </c>
      <c r="E725" s="357">
        <v>5</v>
      </c>
      <c r="F725" s="138">
        <v>21365.13</v>
      </c>
      <c r="G725" s="138"/>
      <c r="H725" s="241"/>
      <c r="I725" s="125">
        <f t="shared" si="46"/>
        <v>21365.13</v>
      </c>
      <c r="J725" s="231">
        <f t="shared" si="47"/>
        <v>21365.13</v>
      </c>
      <c r="K725" s="14">
        <f t="shared" si="48"/>
        <v>0</v>
      </c>
      <c r="L725" s="14">
        <f t="shared" si="49"/>
        <v>0</v>
      </c>
    </row>
    <row r="726" spans="2:12" ht="31.5" customHeight="1" outlineLevel="1" x14ac:dyDescent="0.2">
      <c r="B726" s="64" t="s">
        <v>274</v>
      </c>
      <c r="C726" s="315">
        <v>43191</v>
      </c>
      <c r="D726" s="314">
        <v>43524</v>
      </c>
      <c r="E726" s="357">
        <v>10</v>
      </c>
      <c r="F726" s="138">
        <v>1702.08</v>
      </c>
      <c r="G726" s="138">
        <v>1600</v>
      </c>
      <c r="H726" s="241"/>
      <c r="I726" s="125">
        <f t="shared" si="46"/>
        <v>3302.08</v>
      </c>
      <c r="J726" s="231">
        <f t="shared" si="47"/>
        <v>3302.08</v>
      </c>
      <c r="K726" s="14">
        <f t="shared" si="48"/>
        <v>0</v>
      </c>
      <c r="L726" s="14">
        <f t="shared" si="49"/>
        <v>0</v>
      </c>
    </row>
    <row r="727" spans="2:12" ht="31.5" customHeight="1" outlineLevel="1" x14ac:dyDescent="0.2">
      <c r="B727" s="65" t="s">
        <v>809</v>
      </c>
      <c r="C727" s="315">
        <v>43405</v>
      </c>
      <c r="D727" s="314">
        <v>43738</v>
      </c>
      <c r="E727" s="357">
        <v>5</v>
      </c>
      <c r="F727" s="138">
        <v>1523.58</v>
      </c>
      <c r="G727" s="138"/>
      <c r="H727" s="241"/>
      <c r="I727" s="125">
        <f t="shared" si="46"/>
        <v>1523.58</v>
      </c>
      <c r="J727" s="231">
        <f t="shared" si="47"/>
        <v>1523.58</v>
      </c>
      <c r="K727" s="14">
        <f t="shared" si="48"/>
        <v>0</v>
      </c>
      <c r="L727" s="14">
        <f t="shared" si="49"/>
        <v>0</v>
      </c>
    </row>
    <row r="728" spans="2:12" ht="31.5" customHeight="1" outlineLevel="1" x14ac:dyDescent="0.2">
      <c r="B728" s="64" t="s">
        <v>38</v>
      </c>
      <c r="C728" s="315">
        <v>42826</v>
      </c>
      <c r="D728" s="314">
        <v>43524</v>
      </c>
      <c r="E728" s="357">
        <v>10</v>
      </c>
      <c r="F728" s="138">
        <v>7509.22</v>
      </c>
      <c r="G728" s="138">
        <v>1600</v>
      </c>
      <c r="H728" s="241"/>
      <c r="I728" s="125">
        <f t="shared" si="46"/>
        <v>9109.2200000000012</v>
      </c>
      <c r="J728" s="231">
        <f t="shared" si="47"/>
        <v>9109.2200000000012</v>
      </c>
      <c r="K728" s="14">
        <f t="shared" si="48"/>
        <v>0</v>
      </c>
      <c r="L728" s="14">
        <f t="shared" si="49"/>
        <v>0</v>
      </c>
    </row>
    <row r="729" spans="2:12" ht="31.5" customHeight="1" outlineLevel="1" x14ac:dyDescent="0.2">
      <c r="B729" s="64" t="s">
        <v>367</v>
      </c>
      <c r="C729" s="315">
        <v>43282</v>
      </c>
      <c r="D729" s="314">
        <v>43524</v>
      </c>
      <c r="E729" s="357">
        <v>5</v>
      </c>
      <c r="F729" s="138">
        <v>1851.66</v>
      </c>
      <c r="G729" s="138"/>
      <c r="H729" s="241"/>
      <c r="I729" s="125">
        <f t="shared" si="46"/>
        <v>1851.66</v>
      </c>
      <c r="J729" s="231">
        <f t="shared" si="47"/>
        <v>1851.66</v>
      </c>
      <c r="K729" s="14">
        <f t="shared" si="48"/>
        <v>0</v>
      </c>
      <c r="L729" s="14">
        <f t="shared" si="49"/>
        <v>0</v>
      </c>
    </row>
    <row r="730" spans="2:12" outlineLevel="1" x14ac:dyDescent="0.2">
      <c r="B730" s="65" t="s">
        <v>810</v>
      </c>
      <c r="C730" s="315">
        <v>43435</v>
      </c>
      <c r="D730" s="314">
        <v>43585</v>
      </c>
      <c r="E730" s="357">
        <v>5</v>
      </c>
      <c r="F730" s="138">
        <v>3174.3</v>
      </c>
      <c r="G730" s="138"/>
      <c r="H730" s="241"/>
      <c r="I730" s="125">
        <f t="shared" si="46"/>
        <v>3174.3</v>
      </c>
      <c r="J730" s="231">
        <f t="shared" si="47"/>
        <v>3174.3</v>
      </c>
      <c r="K730" s="14">
        <f t="shared" si="48"/>
        <v>0</v>
      </c>
      <c r="L730" s="14">
        <f t="shared" si="49"/>
        <v>0</v>
      </c>
    </row>
    <row r="731" spans="2:12" outlineLevel="1" x14ac:dyDescent="0.2">
      <c r="B731" s="65" t="s">
        <v>811</v>
      </c>
      <c r="C731" s="315">
        <v>43435</v>
      </c>
      <c r="D731" s="314">
        <v>43585</v>
      </c>
      <c r="E731" s="357">
        <v>5</v>
      </c>
      <c r="F731" s="138">
        <v>1929.03</v>
      </c>
      <c r="G731" s="138"/>
      <c r="H731" s="241"/>
      <c r="I731" s="125">
        <f t="shared" si="46"/>
        <v>1929.03</v>
      </c>
      <c r="J731" s="231">
        <f t="shared" si="47"/>
        <v>1929.03</v>
      </c>
      <c r="K731" s="14">
        <f t="shared" si="48"/>
        <v>0</v>
      </c>
      <c r="L731" s="14">
        <f t="shared" si="49"/>
        <v>0</v>
      </c>
    </row>
    <row r="732" spans="2:12" ht="39" customHeight="1" outlineLevel="1" x14ac:dyDescent="0.2">
      <c r="B732" s="64" t="s">
        <v>146</v>
      </c>
      <c r="C732" s="315">
        <v>43160</v>
      </c>
      <c r="D732" s="314">
        <v>43585</v>
      </c>
      <c r="E732" s="357">
        <v>10</v>
      </c>
      <c r="F732" s="138">
        <v>6035.25</v>
      </c>
      <c r="G732" s="138">
        <v>2000</v>
      </c>
      <c r="H732" s="241"/>
      <c r="I732" s="125">
        <f t="shared" si="46"/>
        <v>8035.25</v>
      </c>
      <c r="J732" s="231">
        <f t="shared" si="47"/>
        <v>8035.25</v>
      </c>
      <c r="K732" s="14">
        <f t="shared" si="48"/>
        <v>0</v>
      </c>
      <c r="L732" s="14">
        <f t="shared" si="49"/>
        <v>0</v>
      </c>
    </row>
    <row r="733" spans="2:12" ht="36" customHeight="1" outlineLevel="1" x14ac:dyDescent="0.2">
      <c r="B733" s="65" t="s">
        <v>812</v>
      </c>
      <c r="C733" s="315">
        <v>43374</v>
      </c>
      <c r="D733" s="314">
        <v>43585</v>
      </c>
      <c r="E733" s="357">
        <v>5</v>
      </c>
      <c r="F733" s="138">
        <v>4166.2700000000004</v>
      </c>
      <c r="G733" s="138"/>
      <c r="H733" s="241"/>
      <c r="I733" s="125">
        <f t="shared" si="46"/>
        <v>4166.2700000000004</v>
      </c>
      <c r="J733" s="231">
        <f t="shared" si="47"/>
        <v>4166.2700000000004</v>
      </c>
      <c r="K733" s="14">
        <f t="shared" si="48"/>
        <v>0</v>
      </c>
      <c r="L733" s="14">
        <f t="shared" si="49"/>
        <v>0</v>
      </c>
    </row>
    <row r="734" spans="2:12" ht="30.75" customHeight="1" outlineLevel="1" x14ac:dyDescent="0.2">
      <c r="B734" s="65" t="s">
        <v>813</v>
      </c>
      <c r="C734" s="315">
        <v>43435</v>
      </c>
      <c r="D734" s="314">
        <v>43738</v>
      </c>
      <c r="E734" s="357">
        <v>5</v>
      </c>
      <c r="F734" s="138">
        <v>1388.75</v>
      </c>
      <c r="G734" s="138"/>
      <c r="H734" s="241"/>
      <c r="I734" s="125">
        <f t="shared" si="46"/>
        <v>1388.75</v>
      </c>
      <c r="J734" s="231">
        <f t="shared" si="47"/>
        <v>1388.75</v>
      </c>
      <c r="K734" s="14">
        <f t="shared" si="48"/>
        <v>0</v>
      </c>
      <c r="L734" s="14">
        <f t="shared" si="49"/>
        <v>0</v>
      </c>
    </row>
    <row r="735" spans="2:12" ht="30.75" customHeight="1" outlineLevel="1" x14ac:dyDescent="0.2">
      <c r="B735" s="64" t="s">
        <v>39</v>
      </c>
      <c r="C735" s="315">
        <v>42948</v>
      </c>
      <c r="D735" s="314">
        <v>43646</v>
      </c>
      <c r="E735" s="357">
        <v>15</v>
      </c>
      <c r="F735" s="138">
        <v>7942.82</v>
      </c>
      <c r="G735" s="138">
        <v>20200</v>
      </c>
      <c r="H735" s="241"/>
      <c r="I735" s="125">
        <f t="shared" si="46"/>
        <v>28142.82</v>
      </c>
      <c r="J735" s="231">
        <f t="shared" si="47"/>
        <v>28142.82</v>
      </c>
      <c r="K735" s="14">
        <f t="shared" si="48"/>
        <v>0</v>
      </c>
      <c r="L735" s="14">
        <f t="shared" si="49"/>
        <v>0</v>
      </c>
    </row>
    <row r="736" spans="2:12" s="163" customFormat="1" ht="26.25" customHeight="1" outlineLevel="1" x14ac:dyDescent="0.2">
      <c r="B736" s="64" t="s">
        <v>275</v>
      </c>
      <c r="C736" s="315">
        <v>43191</v>
      </c>
      <c r="D736" s="314">
        <v>43677</v>
      </c>
      <c r="E736" s="357">
        <v>5</v>
      </c>
      <c r="F736" s="138">
        <v>1851.66</v>
      </c>
      <c r="G736" s="138"/>
      <c r="H736" s="241"/>
      <c r="I736" s="125">
        <f t="shared" si="46"/>
        <v>1851.66</v>
      </c>
      <c r="J736" s="231">
        <f t="shared" si="47"/>
        <v>1851.66</v>
      </c>
      <c r="K736" s="14">
        <f t="shared" si="48"/>
        <v>0</v>
      </c>
      <c r="L736" s="14">
        <f t="shared" si="49"/>
        <v>0</v>
      </c>
    </row>
    <row r="737" spans="2:12" ht="30.75" customHeight="1" outlineLevel="1" x14ac:dyDescent="0.2">
      <c r="B737" s="64" t="s">
        <v>147</v>
      </c>
      <c r="C737" s="315">
        <v>43160</v>
      </c>
      <c r="D737" s="314">
        <v>43799</v>
      </c>
      <c r="E737" s="357">
        <v>5</v>
      </c>
      <c r="F737" s="138">
        <v>1929.04</v>
      </c>
      <c r="G737" s="138"/>
      <c r="H737" s="241"/>
      <c r="I737" s="125">
        <f t="shared" si="46"/>
        <v>1929.04</v>
      </c>
      <c r="J737" s="231">
        <f t="shared" si="47"/>
        <v>1929.04</v>
      </c>
      <c r="K737" s="14">
        <f t="shared" si="48"/>
        <v>0</v>
      </c>
      <c r="L737" s="14">
        <f t="shared" si="49"/>
        <v>0</v>
      </c>
    </row>
    <row r="738" spans="2:12" s="163" customFormat="1" ht="26.25" customHeight="1" outlineLevel="1" x14ac:dyDescent="0.2">
      <c r="B738" s="65" t="s">
        <v>814</v>
      </c>
      <c r="C738" s="315">
        <v>43405</v>
      </c>
      <c r="D738" s="314">
        <v>43496</v>
      </c>
      <c r="E738" s="357">
        <v>5</v>
      </c>
      <c r="F738" s="138">
        <v>1851.67</v>
      </c>
      <c r="G738" s="138"/>
      <c r="H738" s="241"/>
      <c r="I738" s="125">
        <f t="shared" si="46"/>
        <v>1851.67</v>
      </c>
      <c r="J738" s="231">
        <f t="shared" si="47"/>
        <v>1851.67</v>
      </c>
      <c r="K738" s="14">
        <f t="shared" si="48"/>
        <v>0</v>
      </c>
      <c r="L738" s="14">
        <f t="shared" si="49"/>
        <v>0</v>
      </c>
    </row>
    <row r="739" spans="2:12" ht="27.75" customHeight="1" outlineLevel="1" x14ac:dyDescent="0.2">
      <c r="B739" s="65" t="s">
        <v>815</v>
      </c>
      <c r="C739" s="315">
        <v>43435</v>
      </c>
      <c r="D739" s="314">
        <v>43677</v>
      </c>
      <c r="E739" s="357">
        <v>5</v>
      </c>
      <c r="F739" s="138">
        <v>2645.25</v>
      </c>
      <c r="G739" s="138"/>
      <c r="H739" s="241"/>
      <c r="I739" s="125">
        <f t="shared" si="46"/>
        <v>2645.25</v>
      </c>
      <c r="J739" s="231">
        <f t="shared" si="47"/>
        <v>2645.25</v>
      </c>
      <c r="K739" s="14">
        <f t="shared" si="48"/>
        <v>0</v>
      </c>
      <c r="L739" s="14">
        <f t="shared" si="49"/>
        <v>0</v>
      </c>
    </row>
    <row r="740" spans="2:12" ht="24" outlineLevel="1" x14ac:dyDescent="0.2">
      <c r="B740" s="64" t="s">
        <v>368</v>
      </c>
      <c r="C740" s="315">
        <v>43282</v>
      </c>
      <c r="D740" s="314">
        <v>43555</v>
      </c>
      <c r="E740" s="357">
        <v>5</v>
      </c>
      <c r="F740" s="138">
        <v>1851.66</v>
      </c>
      <c r="G740" s="138"/>
      <c r="H740" s="241"/>
      <c r="I740" s="125">
        <f t="shared" si="46"/>
        <v>1851.66</v>
      </c>
      <c r="J740" s="231">
        <f t="shared" si="47"/>
        <v>1851.66</v>
      </c>
      <c r="K740" s="14">
        <f t="shared" si="48"/>
        <v>0</v>
      </c>
      <c r="L740" s="14">
        <f t="shared" si="49"/>
        <v>0</v>
      </c>
    </row>
    <row r="741" spans="2:12" ht="24" outlineLevel="1" x14ac:dyDescent="0.2">
      <c r="B741" s="64" t="s">
        <v>148</v>
      </c>
      <c r="C741" s="315">
        <v>43101</v>
      </c>
      <c r="D741" s="314">
        <v>43585</v>
      </c>
      <c r="E741" s="357">
        <v>5</v>
      </c>
      <c r="F741" s="138">
        <v>2411.2800000000002</v>
      </c>
      <c r="G741" s="138"/>
      <c r="H741" s="241"/>
      <c r="I741" s="125">
        <f t="shared" si="46"/>
        <v>2411.2800000000002</v>
      </c>
      <c r="J741" s="231">
        <f t="shared" si="47"/>
        <v>2411.2800000000002</v>
      </c>
      <c r="K741" s="14">
        <f t="shared" si="48"/>
        <v>0</v>
      </c>
      <c r="L741" s="14">
        <f t="shared" si="49"/>
        <v>0</v>
      </c>
    </row>
    <row r="742" spans="2:12" ht="24" outlineLevel="1" x14ac:dyDescent="0.2">
      <c r="B742" s="65" t="s">
        <v>816</v>
      </c>
      <c r="C742" s="315">
        <v>43435</v>
      </c>
      <c r="D742" s="314">
        <v>43769</v>
      </c>
      <c r="E742" s="357">
        <v>5</v>
      </c>
      <c r="F742" s="138">
        <v>1851.68</v>
      </c>
      <c r="G742" s="138"/>
      <c r="H742" s="241"/>
      <c r="I742" s="125">
        <f t="shared" si="46"/>
        <v>1851.68</v>
      </c>
      <c r="J742" s="231">
        <f t="shared" si="47"/>
        <v>1851.68</v>
      </c>
      <c r="K742" s="14">
        <f t="shared" si="48"/>
        <v>0</v>
      </c>
      <c r="L742" s="14">
        <f t="shared" si="49"/>
        <v>0</v>
      </c>
    </row>
    <row r="743" spans="2:12" outlineLevel="1" x14ac:dyDescent="0.2">
      <c r="B743" s="64" t="s">
        <v>276</v>
      </c>
      <c r="C743" s="315">
        <v>43252</v>
      </c>
      <c r="D743" s="314">
        <v>43738</v>
      </c>
      <c r="E743" s="357">
        <v>5</v>
      </c>
      <c r="F743" s="138">
        <v>1851.66</v>
      </c>
      <c r="G743" s="138"/>
      <c r="H743" s="241"/>
      <c r="I743" s="125">
        <f t="shared" si="46"/>
        <v>1851.66</v>
      </c>
      <c r="J743" s="231">
        <f t="shared" si="47"/>
        <v>1851.66</v>
      </c>
      <c r="K743" s="14">
        <f t="shared" si="48"/>
        <v>0</v>
      </c>
      <c r="L743" s="14">
        <f t="shared" si="49"/>
        <v>0</v>
      </c>
    </row>
    <row r="744" spans="2:12" ht="24" outlineLevel="1" x14ac:dyDescent="0.2">
      <c r="B744" s="64" t="s">
        <v>369</v>
      </c>
      <c r="C744" s="315">
        <v>43344</v>
      </c>
      <c r="D744" s="314">
        <v>43738</v>
      </c>
      <c r="E744" s="357">
        <v>5</v>
      </c>
      <c r="F744" s="138">
        <v>1851.67</v>
      </c>
      <c r="G744" s="138"/>
      <c r="H744" s="241"/>
      <c r="I744" s="125">
        <f t="shared" si="46"/>
        <v>1851.67</v>
      </c>
      <c r="J744" s="231">
        <f t="shared" si="47"/>
        <v>1851.67</v>
      </c>
      <c r="K744" s="14">
        <f t="shared" si="48"/>
        <v>0</v>
      </c>
      <c r="L744" s="14">
        <f t="shared" si="49"/>
        <v>0</v>
      </c>
    </row>
    <row r="745" spans="2:12" ht="24" outlineLevel="1" x14ac:dyDescent="0.2">
      <c r="B745" s="64" t="s">
        <v>149</v>
      </c>
      <c r="C745" s="315">
        <v>43160</v>
      </c>
      <c r="D745" s="314">
        <v>43524</v>
      </c>
      <c r="E745" s="357">
        <v>10</v>
      </c>
      <c r="F745" s="138">
        <v>972.63</v>
      </c>
      <c r="G745" s="138">
        <v>1600</v>
      </c>
      <c r="H745" s="241"/>
      <c r="I745" s="125">
        <f t="shared" si="46"/>
        <v>2572.63</v>
      </c>
      <c r="J745" s="231">
        <f t="shared" si="47"/>
        <v>2572.63</v>
      </c>
      <c r="K745" s="14">
        <f t="shared" si="48"/>
        <v>0</v>
      </c>
      <c r="L745" s="14">
        <f t="shared" si="49"/>
        <v>0</v>
      </c>
    </row>
    <row r="746" spans="2:12" ht="24" outlineLevel="1" x14ac:dyDescent="0.2">
      <c r="B746" s="64" t="s">
        <v>277</v>
      </c>
      <c r="C746" s="315">
        <v>43191</v>
      </c>
      <c r="D746" s="314">
        <v>43524</v>
      </c>
      <c r="E746" s="357">
        <v>5</v>
      </c>
      <c r="F746" s="138">
        <v>1851.66</v>
      </c>
      <c r="G746" s="138"/>
      <c r="H746" s="241"/>
      <c r="I746" s="125">
        <f t="shared" si="46"/>
        <v>1851.66</v>
      </c>
      <c r="J746" s="231">
        <f t="shared" si="47"/>
        <v>1851.66</v>
      </c>
      <c r="K746" s="14">
        <f t="shared" si="48"/>
        <v>0</v>
      </c>
      <c r="L746" s="14">
        <f t="shared" si="49"/>
        <v>0</v>
      </c>
    </row>
    <row r="747" spans="2:12" ht="24" outlineLevel="1" x14ac:dyDescent="0.2">
      <c r="B747" s="65" t="s">
        <v>817</v>
      </c>
      <c r="C747" s="315">
        <v>43374</v>
      </c>
      <c r="D747" s="314">
        <v>43524</v>
      </c>
      <c r="E747" s="357">
        <v>5</v>
      </c>
      <c r="F747" s="138">
        <v>1851.67</v>
      </c>
      <c r="G747" s="138"/>
      <c r="H747" s="241"/>
      <c r="I747" s="125">
        <f t="shared" si="46"/>
        <v>1851.67</v>
      </c>
      <c r="J747" s="231">
        <f t="shared" si="47"/>
        <v>1851.67</v>
      </c>
      <c r="K747" s="14">
        <f t="shared" si="48"/>
        <v>0</v>
      </c>
      <c r="L747" s="14">
        <f t="shared" si="49"/>
        <v>0</v>
      </c>
    </row>
    <row r="748" spans="2:12" ht="24" outlineLevel="1" x14ac:dyDescent="0.2">
      <c r="B748" s="65" t="s">
        <v>818</v>
      </c>
      <c r="C748" s="315">
        <v>43374</v>
      </c>
      <c r="D748" s="314">
        <v>43555</v>
      </c>
      <c r="E748" s="357">
        <v>5</v>
      </c>
      <c r="F748" s="138">
        <v>1851.67</v>
      </c>
      <c r="G748" s="138"/>
      <c r="H748" s="241"/>
      <c r="I748" s="125">
        <f t="shared" si="46"/>
        <v>1851.67</v>
      </c>
      <c r="J748" s="231">
        <f t="shared" si="47"/>
        <v>1851.67</v>
      </c>
      <c r="K748" s="14">
        <f t="shared" si="48"/>
        <v>0</v>
      </c>
      <c r="L748" s="14">
        <f t="shared" si="49"/>
        <v>0</v>
      </c>
    </row>
    <row r="749" spans="2:12" ht="24" outlineLevel="1" x14ac:dyDescent="0.2">
      <c r="B749" s="64" t="s">
        <v>150</v>
      </c>
      <c r="C749" s="315">
        <v>43101</v>
      </c>
      <c r="D749" s="314">
        <v>43738</v>
      </c>
      <c r="E749" s="357">
        <v>5</v>
      </c>
      <c r="F749" s="138">
        <v>1929.04</v>
      </c>
      <c r="G749" s="138"/>
      <c r="H749" s="241"/>
      <c r="I749" s="125">
        <f t="shared" si="46"/>
        <v>1929.04</v>
      </c>
      <c r="J749" s="231">
        <f t="shared" si="47"/>
        <v>1929.04</v>
      </c>
      <c r="K749" s="14">
        <f t="shared" si="48"/>
        <v>0</v>
      </c>
      <c r="L749" s="14">
        <f t="shared" si="49"/>
        <v>0</v>
      </c>
    </row>
    <row r="750" spans="2:12" ht="24" outlineLevel="1" x14ac:dyDescent="0.2">
      <c r="B750" s="65" t="s">
        <v>819</v>
      </c>
      <c r="C750" s="315">
        <v>43435</v>
      </c>
      <c r="D750" s="314">
        <v>43555</v>
      </c>
      <c r="E750" s="357">
        <v>5</v>
      </c>
      <c r="F750" s="138">
        <v>1851.68</v>
      </c>
      <c r="G750" s="138"/>
      <c r="H750" s="241"/>
      <c r="I750" s="125">
        <f t="shared" si="46"/>
        <v>1851.68</v>
      </c>
      <c r="J750" s="231">
        <f t="shared" si="47"/>
        <v>1851.68</v>
      </c>
      <c r="K750" s="14">
        <f t="shared" si="48"/>
        <v>0</v>
      </c>
      <c r="L750" s="14">
        <f t="shared" si="49"/>
        <v>0</v>
      </c>
    </row>
    <row r="751" spans="2:12" ht="24" outlineLevel="1" x14ac:dyDescent="0.2">
      <c r="B751" s="64" t="s">
        <v>370</v>
      </c>
      <c r="C751" s="315">
        <v>43344</v>
      </c>
      <c r="D751" s="314">
        <v>43555</v>
      </c>
      <c r="E751" s="357">
        <v>5</v>
      </c>
      <c r="F751" s="138">
        <v>2314.6</v>
      </c>
      <c r="G751" s="138"/>
      <c r="H751" s="241"/>
      <c r="I751" s="125">
        <f t="shared" si="46"/>
        <v>2314.6</v>
      </c>
      <c r="J751" s="231">
        <f t="shared" si="47"/>
        <v>2314.6</v>
      </c>
      <c r="K751" s="14">
        <f t="shared" si="48"/>
        <v>0</v>
      </c>
      <c r="L751" s="14">
        <f t="shared" si="49"/>
        <v>0</v>
      </c>
    </row>
    <row r="752" spans="2:12" outlineLevel="1" x14ac:dyDescent="0.2">
      <c r="B752" s="65" t="s">
        <v>820</v>
      </c>
      <c r="C752" s="315">
        <v>43435</v>
      </c>
      <c r="D752" s="314">
        <v>43738</v>
      </c>
      <c r="E752" s="357">
        <v>5</v>
      </c>
      <c r="F752" s="138">
        <v>1983.94</v>
      </c>
      <c r="G752" s="138"/>
      <c r="H752" s="241"/>
      <c r="I752" s="125">
        <f t="shared" ref="I752:I783" si="50">F752+G752+H752</f>
        <v>1983.94</v>
      </c>
      <c r="J752" s="231">
        <f t="shared" ref="J752:J783" si="51">I752</f>
        <v>1983.94</v>
      </c>
      <c r="K752" s="14">
        <f t="shared" ref="K752:K783" si="52">I752-J752</f>
        <v>0</v>
      </c>
      <c r="L752" s="14">
        <f t="shared" ref="L752:L783" si="53">I752-J752</f>
        <v>0</v>
      </c>
    </row>
    <row r="753" spans="2:12" ht="24" outlineLevel="1" x14ac:dyDescent="0.2">
      <c r="B753" s="64" t="s">
        <v>40</v>
      </c>
      <c r="C753" s="315">
        <v>42979</v>
      </c>
      <c r="D753" s="314">
        <v>43616</v>
      </c>
      <c r="E753" s="357">
        <v>10</v>
      </c>
      <c r="F753" s="138">
        <v>5430.27</v>
      </c>
      <c r="G753" s="299"/>
      <c r="H753" s="241"/>
      <c r="I753" s="125">
        <f t="shared" si="50"/>
        <v>5430.27</v>
      </c>
      <c r="J753" s="231">
        <f t="shared" si="51"/>
        <v>5430.27</v>
      </c>
      <c r="K753" s="14">
        <f t="shared" si="52"/>
        <v>0</v>
      </c>
      <c r="L753" s="14">
        <f t="shared" si="53"/>
        <v>0</v>
      </c>
    </row>
    <row r="754" spans="2:12" outlineLevel="1" x14ac:dyDescent="0.2">
      <c r="B754" s="65" t="s">
        <v>821</v>
      </c>
      <c r="C754" s="315">
        <v>43435</v>
      </c>
      <c r="D754" s="314">
        <v>43524</v>
      </c>
      <c r="E754" s="357">
        <v>5</v>
      </c>
      <c r="F754" s="138">
        <v>1851.68</v>
      </c>
      <c r="G754" s="138"/>
      <c r="H754" s="241"/>
      <c r="I754" s="125">
        <f t="shared" si="50"/>
        <v>1851.68</v>
      </c>
      <c r="J754" s="231">
        <f t="shared" si="51"/>
        <v>1851.68</v>
      </c>
      <c r="K754" s="14">
        <f t="shared" si="52"/>
        <v>0</v>
      </c>
      <c r="L754" s="14">
        <f t="shared" si="53"/>
        <v>0</v>
      </c>
    </row>
    <row r="755" spans="2:12" ht="24" outlineLevel="1" x14ac:dyDescent="0.2">
      <c r="B755" s="65" t="s">
        <v>822</v>
      </c>
      <c r="C755" s="315">
        <v>43405</v>
      </c>
      <c r="D755" s="314">
        <v>43738</v>
      </c>
      <c r="E755" s="357">
        <v>5</v>
      </c>
      <c r="F755" s="138">
        <v>1307.07</v>
      </c>
      <c r="G755" s="138"/>
      <c r="H755" s="241"/>
      <c r="I755" s="125">
        <f t="shared" si="50"/>
        <v>1307.07</v>
      </c>
      <c r="J755" s="231">
        <f t="shared" si="51"/>
        <v>1307.07</v>
      </c>
      <c r="K755" s="14">
        <f t="shared" si="52"/>
        <v>0</v>
      </c>
      <c r="L755" s="14">
        <f t="shared" si="53"/>
        <v>0</v>
      </c>
    </row>
    <row r="756" spans="2:12" outlineLevel="1" x14ac:dyDescent="0.2">
      <c r="B756" s="65" t="s">
        <v>823</v>
      </c>
      <c r="C756" s="315">
        <v>43405</v>
      </c>
      <c r="D756" s="314">
        <v>43524</v>
      </c>
      <c r="E756" s="357">
        <v>5</v>
      </c>
      <c r="F756" s="138">
        <v>6642.42</v>
      </c>
      <c r="G756" s="138"/>
      <c r="H756" s="241"/>
      <c r="I756" s="125">
        <f t="shared" si="50"/>
        <v>6642.42</v>
      </c>
      <c r="J756" s="231">
        <f t="shared" si="51"/>
        <v>6642.42</v>
      </c>
      <c r="K756" s="14">
        <f t="shared" si="52"/>
        <v>0</v>
      </c>
      <c r="L756" s="14">
        <f t="shared" si="53"/>
        <v>0</v>
      </c>
    </row>
    <row r="757" spans="2:12" ht="27.75" customHeight="1" outlineLevel="1" x14ac:dyDescent="0.2">
      <c r="B757" s="65" t="s">
        <v>824</v>
      </c>
      <c r="C757" s="315">
        <v>43374</v>
      </c>
      <c r="D757" s="314">
        <v>43585</v>
      </c>
      <c r="E757" s="357">
        <v>5</v>
      </c>
      <c r="F757" s="138">
        <v>4166.2700000000004</v>
      </c>
      <c r="G757" s="138"/>
      <c r="H757" s="241"/>
      <c r="I757" s="125">
        <f t="shared" si="50"/>
        <v>4166.2700000000004</v>
      </c>
      <c r="J757" s="231">
        <f t="shared" si="51"/>
        <v>4166.2700000000004</v>
      </c>
      <c r="K757" s="14">
        <f t="shared" si="52"/>
        <v>0</v>
      </c>
      <c r="L757" s="14">
        <f t="shared" si="53"/>
        <v>0</v>
      </c>
    </row>
    <row r="758" spans="2:12" ht="27.75" customHeight="1" outlineLevel="1" x14ac:dyDescent="0.2">
      <c r="B758" s="64" t="s">
        <v>371</v>
      </c>
      <c r="C758" s="315">
        <v>43313</v>
      </c>
      <c r="D758" s="314">
        <v>43524</v>
      </c>
      <c r="E758" s="357">
        <v>10</v>
      </c>
      <c r="F758" s="138">
        <v>5557.48</v>
      </c>
      <c r="G758" s="138"/>
      <c r="H758" s="241"/>
      <c r="I758" s="125">
        <f t="shared" si="50"/>
        <v>5557.48</v>
      </c>
      <c r="J758" s="231">
        <f t="shared" si="51"/>
        <v>5557.48</v>
      </c>
      <c r="K758" s="14">
        <f t="shared" si="52"/>
        <v>0</v>
      </c>
      <c r="L758" s="14">
        <f t="shared" si="53"/>
        <v>0</v>
      </c>
    </row>
    <row r="759" spans="2:12" ht="27.75" customHeight="1" outlineLevel="1" x14ac:dyDescent="0.2">
      <c r="B759" s="64" t="s">
        <v>372</v>
      </c>
      <c r="C759" s="315">
        <v>43313</v>
      </c>
      <c r="D759" s="314">
        <v>43524</v>
      </c>
      <c r="E759" s="357">
        <v>10</v>
      </c>
      <c r="F759" s="138">
        <v>9613.5</v>
      </c>
      <c r="G759" s="138"/>
      <c r="H759" s="241"/>
      <c r="I759" s="125">
        <f t="shared" si="50"/>
        <v>9613.5</v>
      </c>
      <c r="J759" s="231">
        <f t="shared" si="51"/>
        <v>9613.5</v>
      </c>
      <c r="K759" s="14">
        <f t="shared" si="52"/>
        <v>0</v>
      </c>
      <c r="L759" s="14">
        <f t="shared" si="53"/>
        <v>0</v>
      </c>
    </row>
    <row r="760" spans="2:12" ht="27.75" customHeight="1" outlineLevel="1" x14ac:dyDescent="0.2">
      <c r="B760" s="64" t="s">
        <v>278</v>
      </c>
      <c r="C760" s="315">
        <v>43160</v>
      </c>
      <c r="D760" s="314">
        <v>43524</v>
      </c>
      <c r="E760" s="357">
        <v>5</v>
      </c>
      <c r="F760" s="138">
        <v>2411.27</v>
      </c>
      <c r="G760" s="138"/>
      <c r="H760" s="241"/>
      <c r="I760" s="125">
        <f t="shared" si="50"/>
        <v>2411.27</v>
      </c>
      <c r="J760" s="231">
        <f t="shared" si="51"/>
        <v>2411.27</v>
      </c>
      <c r="K760" s="14">
        <f t="shared" si="52"/>
        <v>0</v>
      </c>
      <c r="L760" s="14">
        <f t="shared" si="53"/>
        <v>0</v>
      </c>
    </row>
    <row r="761" spans="2:12" ht="27.75" customHeight="1" outlineLevel="1" x14ac:dyDescent="0.2">
      <c r="B761" s="64" t="s">
        <v>151</v>
      </c>
      <c r="C761" s="315">
        <v>43160</v>
      </c>
      <c r="D761" s="314">
        <v>43524</v>
      </c>
      <c r="E761" s="357">
        <v>10</v>
      </c>
      <c r="F761" s="138">
        <v>2269.46</v>
      </c>
      <c r="G761" s="138">
        <v>16600</v>
      </c>
      <c r="H761" s="241"/>
      <c r="I761" s="125">
        <f t="shared" si="50"/>
        <v>18869.46</v>
      </c>
      <c r="J761" s="231">
        <f t="shared" si="51"/>
        <v>18869.46</v>
      </c>
      <c r="K761" s="14">
        <f t="shared" si="52"/>
        <v>0</v>
      </c>
      <c r="L761" s="14">
        <f t="shared" si="53"/>
        <v>0</v>
      </c>
    </row>
    <row r="762" spans="2:12" ht="27.75" customHeight="1" outlineLevel="1" x14ac:dyDescent="0.2">
      <c r="B762" s="65" t="s">
        <v>825</v>
      </c>
      <c r="C762" s="315">
        <v>43435</v>
      </c>
      <c r="D762" s="314">
        <v>43585</v>
      </c>
      <c r="E762" s="357">
        <v>5</v>
      </c>
      <c r="F762" s="138">
        <v>4166.2700000000004</v>
      </c>
      <c r="G762" s="138"/>
      <c r="H762" s="241"/>
      <c r="I762" s="125">
        <f t="shared" si="50"/>
        <v>4166.2700000000004</v>
      </c>
      <c r="J762" s="231">
        <f t="shared" si="51"/>
        <v>4166.2700000000004</v>
      </c>
      <c r="K762" s="14">
        <f t="shared" si="52"/>
        <v>0</v>
      </c>
      <c r="L762" s="14">
        <f t="shared" si="53"/>
        <v>0</v>
      </c>
    </row>
    <row r="763" spans="2:12" ht="27.75" customHeight="1" outlineLevel="1" x14ac:dyDescent="0.2">
      <c r="B763" s="64" t="s">
        <v>152</v>
      </c>
      <c r="C763" s="315">
        <v>43132</v>
      </c>
      <c r="D763" s="314">
        <v>43799</v>
      </c>
      <c r="E763" s="357">
        <v>5</v>
      </c>
      <c r="F763" s="138">
        <v>1929.04</v>
      </c>
      <c r="G763" s="138"/>
      <c r="H763" s="241"/>
      <c r="I763" s="125">
        <f t="shared" si="50"/>
        <v>1929.04</v>
      </c>
      <c r="J763" s="231">
        <f t="shared" si="51"/>
        <v>1929.04</v>
      </c>
      <c r="K763" s="14">
        <f t="shared" si="52"/>
        <v>0</v>
      </c>
      <c r="L763" s="14">
        <f t="shared" si="53"/>
        <v>0</v>
      </c>
    </row>
    <row r="764" spans="2:12" ht="27.75" customHeight="1" outlineLevel="1" x14ac:dyDescent="0.2">
      <c r="B764" s="65" t="s">
        <v>826</v>
      </c>
      <c r="C764" s="315">
        <v>43405</v>
      </c>
      <c r="D764" s="314">
        <v>43555</v>
      </c>
      <c r="E764" s="357">
        <v>5</v>
      </c>
      <c r="F764" s="138">
        <v>1851.67</v>
      </c>
      <c r="G764" s="138"/>
      <c r="H764" s="241"/>
      <c r="I764" s="125">
        <f t="shared" si="50"/>
        <v>1851.67</v>
      </c>
      <c r="J764" s="231">
        <f t="shared" si="51"/>
        <v>1851.67</v>
      </c>
      <c r="K764" s="14">
        <f t="shared" si="52"/>
        <v>0</v>
      </c>
      <c r="L764" s="14">
        <f t="shared" si="53"/>
        <v>0</v>
      </c>
    </row>
    <row r="765" spans="2:12" ht="23.25" customHeight="1" outlineLevel="1" x14ac:dyDescent="0.2">
      <c r="B765" s="64" t="s">
        <v>117</v>
      </c>
      <c r="C765" s="315">
        <v>43009</v>
      </c>
      <c r="D765" s="314">
        <v>43524</v>
      </c>
      <c r="E765" s="357">
        <v>10</v>
      </c>
      <c r="F765" s="138">
        <v>7590.26</v>
      </c>
      <c r="G765" s="138">
        <v>1600</v>
      </c>
      <c r="H765" s="241"/>
      <c r="I765" s="125">
        <f t="shared" si="50"/>
        <v>9190.26</v>
      </c>
      <c r="J765" s="231">
        <f t="shared" si="51"/>
        <v>9190.26</v>
      </c>
      <c r="K765" s="14">
        <f t="shared" si="52"/>
        <v>0</v>
      </c>
      <c r="L765" s="14">
        <f t="shared" si="53"/>
        <v>0</v>
      </c>
    </row>
    <row r="766" spans="2:12" ht="27.75" customHeight="1" outlineLevel="1" x14ac:dyDescent="0.2">
      <c r="B766" s="65" t="s">
        <v>827</v>
      </c>
      <c r="C766" s="315">
        <v>43435</v>
      </c>
      <c r="D766" s="314">
        <v>43555</v>
      </c>
      <c r="E766" s="357">
        <v>5</v>
      </c>
      <c r="F766" s="138">
        <v>1587.15</v>
      </c>
      <c r="G766" s="138"/>
      <c r="H766" s="241"/>
      <c r="I766" s="125">
        <f t="shared" si="50"/>
        <v>1587.15</v>
      </c>
      <c r="J766" s="231">
        <f t="shared" si="51"/>
        <v>1587.15</v>
      </c>
      <c r="K766" s="14">
        <f t="shared" si="52"/>
        <v>0</v>
      </c>
      <c r="L766" s="14">
        <f t="shared" si="53"/>
        <v>0</v>
      </c>
    </row>
    <row r="767" spans="2:12" ht="24" outlineLevel="1" x14ac:dyDescent="0.2">
      <c r="B767" s="64" t="s">
        <v>373</v>
      </c>
      <c r="C767" s="315">
        <v>43344</v>
      </c>
      <c r="D767" s="314">
        <v>43738</v>
      </c>
      <c r="E767" s="357">
        <v>5</v>
      </c>
      <c r="F767" s="138">
        <v>1851.67</v>
      </c>
      <c r="G767" s="138"/>
      <c r="H767" s="241"/>
      <c r="I767" s="125">
        <f t="shared" si="50"/>
        <v>1851.67</v>
      </c>
      <c r="J767" s="231">
        <f t="shared" si="51"/>
        <v>1851.67</v>
      </c>
      <c r="K767" s="14">
        <f t="shared" si="52"/>
        <v>0</v>
      </c>
      <c r="L767" s="14">
        <f t="shared" si="53"/>
        <v>0</v>
      </c>
    </row>
    <row r="768" spans="2:12" ht="30.75" customHeight="1" outlineLevel="1" x14ac:dyDescent="0.2">
      <c r="B768" s="65" t="s">
        <v>828</v>
      </c>
      <c r="C768" s="315">
        <v>43374</v>
      </c>
      <c r="D768" s="314">
        <v>43616</v>
      </c>
      <c r="E768" s="357">
        <v>5</v>
      </c>
      <c r="F768" s="138">
        <v>1633.83</v>
      </c>
      <c r="G768" s="138"/>
      <c r="H768" s="241"/>
      <c r="I768" s="125">
        <f t="shared" si="50"/>
        <v>1633.83</v>
      </c>
      <c r="J768" s="231">
        <f t="shared" si="51"/>
        <v>1633.83</v>
      </c>
      <c r="K768" s="14">
        <f t="shared" si="52"/>
        <v>0</v>
      </c>
      <c r="L768" s="14">
        <f t="shared" si="53"/>
        <v>0</v>
      </c>
    </row>
    <row r="769" spans="2:12" ht="27.75" customHeight="1" outlineLevel="1" x14ac:dyDescent="0.2">
      <c r="B769" s="64" t="s">
        <v>374</v>
      </c>
      <c r="C769" s="315">
        <v>43313</v>
      </c>
      <c r="D769" s="314">
        <v>43524</v>
      </c>
      <c r="E769" s="357">
        <v>10</v>
      </c>
      <c r="F769" s="138">
        <v>7761.84</v>
      </c>
      <c r="G769" s="138">
        <v>1600</v>
      </c>
      <c r="H769" s="241"/>
      <c r="I769" s="125">
        <f t="shared" si="50"/>
        <v>9361.84</v>
      </c>
      <c r="J769" s="231">
        <f t="shared" si="51"/>
        <v>9361.84</v>
      </c>
      <c r="K769" s="14">
        <f t="shared" si="52"/>
        <v>0</v>
      </c>
      <c r="L769" s="14">
        <f t="shared" si="53"/>
        <v>0</v>
      </c>
    </row>
    <row r="770" spans="2:12" outlineLevel="1" x14ac:dyDescent="0.2">
      <c r="B770" s="64" t="s">
        <v>375</v>
      </c>
      <c r="C770" s="315">
        <v>43344</v>
      </c>
      <c r="D770" s="314">
        <v>43738</v>
      </c>
      <c r="E770" s="357">
        <v>5</v>
      </c>
      <c r="F770" s="138">
        <v>1851.67</v>
      </c>
      <c r="G770" s="138"/>
      <c r="H770" s="241"/>
      <c r="I770" s="125">
        <f t="shared" si="50"/>
        <v>1851.67</v>
      </c>
      <c r="J770" s="231">
        <f t="shared" si="51"/>
        <v>1851.67</v>
      </c>
      <c r="K770" s="14">
        <f t="shared" si="52"/>
        <v>0</v>
      </c>
      <c r="L770" s="14">
        <f t="shared" si="53"/>
        <v>0</v>
      </c>
    </row>
    <row r="771" spans="2:12" outlineLevel="1" x14ac:dyDescent="0.2">
      <c r="B771" s="65" t="s">
        <v>829</v>
      </c>
      <c r="C771" s="315">
        <v>43435</v>
      </c>
      <c r="D771" s="314">
        <v>43524</v>
      </c>
      <c r="E771" s="357">
        <v>5</v>
      </c>
      <c r="F771" s="138">
        <v>2702.78</v>
      </c>
      <c r="G771" s="138"/>
      <c r="H771" s="241"/>
      <c r="I771" s="125">
        <f t="shared" si="50"/>
        <v>2702.78</v>
      </c>
      <c r="J771" s="231">
        <f t="shared" si="51"/>
        <v>2702.78</v>
      </c>
      <c r="K771" s="14">
        <f t="shared" si="52"/>
        <v>0</v>
      </c>
      <c r="L771" s="14">
        <f t="shared" si="53"/>
        <v>0</v>
      </c>
    </row>
    <row r="772" spans="2:12" outlineLevel="1" x14ac:dyDescent="0.2">
      <c r="B772" s="65" t="s">
        <v>830</v>
      </c>
      <c r="C772" s="315">
        <v>43435</v>
      </c>
      <c r="D772" s="314">
        <v>43738</v>
      </c>
      <c r="E772" s="357">
        <v>5</v>
      </c>
      <c r="F772" s="138">
        <v>1653.29</v>
      </c>
      <c r="G772" s="138"/>
      <c r="H772" s="241"/>
      <c r="I772" s="125">
        <f t="shared" si="50"/>
        <v>1653.29</v>
      </c>
      <c r="J772" s="231">
        <f t="shared" si="51"/>
        <v>1653.29</v>
      </c>
      <c r="K772" s="14">
        <f t="shared" si="52"/>
        <v>0</v>
      </c>
      <c r="L772" s="14">
        <f t="shared" si="53"/>
        <v>0</v>
      </c>
    </row>
    <row r="773" spans="2:12" outlineLevel="1" x14ac:dyDescent="0.2">
      <c r="B773" s="65" t="s">
        <v>831</v>
      </c>
      <c r="C773" s="315">
        <v>43405</v>
      </c>
      <c r="D773" s="314">
        <v>43555</v>
      </c>
      <c r="E773" s="357">
        <v>5</v>
      </c>
      <c r="F773" s="138">
        <v>1633.83</v>
      </c>
      <c r="G773" s="138"/>
      <c r="H773" s="241"/>
      <c r="I773" s="125">
        <f t="shared" si="50"/>
        <v>1633.83</v>
      </c>
      <c r="J773" s="231">
        <f t="shared" si="51"/>
        <v>1633.83</v>
      </c>
      <c r="K773" s="14">
        <f t="shared" si="52"/>
        <v>0</v>
      </c>
      <c r="L773" s="14">
        <f t="shared" si="53"/>
        <v>0</v>
      </c>
    </row>
    <row r="774" spans="2:12" ht="29.25" customHeight="1" outlineLevel="1" x14ac:dyDescent="0.2">
      <c r="B774" s="65" t="s">
        <v>832</v>
      </c>
      <c r="C774" s="315">
        <v>43405</v>
      </c>
      <c r="D774" s="314">
        <v>43616</v>
      </c>
      <c r="E774" s="357">
        <v>5</v>
      </c>
      <c r="F774" s="138">
        <v>1633.83</v>
      </c>
      <c r="G774" s="138"/>
      <c r="H774" s="241"/>
      <c r="I774" s="125">
        <f t="shared" si="50"/>
        <v>1633.83</v>
      </c>
      <c r="J774" s="231">
        <f t="shared" si="51"/>
        <v>1633.83</v>
      </c>
      <c r="K774" s="14">
        <f t="shared" si="52"/>
        <v>0</v>
      </c>
      <c r="L774" s="14">
        <f t="shared" si="53"/>
        <v>0</v>
      </c>
    </row>
    <row r="775" spans="2:12" outlineLevel="1" x14ac:dyDescent="0.2">
      <c r="B775" s="64" t="s">
        <v>376</v>
      </c>
      <c r="C775" s="315">
        <v>43313</v>
      </c>
      <c r="D775" s="314">
        <v>43524</v>
      </c>
      <c r="E775" s="357">
        <v>15</v>
      </c>
      <c r="F775" s="138">
        <v>4166.26</v>
      </c>
      <c r="G775" s="138">
        <v>9023.5499999999993</v>
      </c>
      <c r="H775" s="241"/>
      <c r="I775" s="125">
        <f t="shared" si="50"/>
        <v>13189.81</v>
      </c>
      <c r="J775" s="231">
        <f t="shared" si="51"/>
        <v>13189.81</v>
      </c>
      <c r="K775" s="14">
        <f t="shared" si="52"/>
        <v>0</v>
      </c>
      <c r="L775" s="14">
        <f t="shared" si="53"/>
        <v>0</v>
      </c>
    </row>
    <row r="776" spans="2:12" ht="24" outlineLevel="1" x14ac:dyDescent="0.2">
      <c r="B776" s="64" t="s">
        <v>377</v>
      </c>
      <c r="C776" s="315">
        <v>43344</v>
      </c>
      <c r="D776" s="314">
        <v>43677</v>
      </c>
      <c r="E776" s="357">
        <v>5</v>
      </c>
      <c r="F776" s="138">
        <v>1851.67</v>
      </c>
      <c r="G776" s="138"/>
      <c r="H776" s="241"/>
      <c r="I776" s="125">
        <f t="shared" si="50"/>
        <v>1851.67</v>
      </c>
      <c r="J776" s="231">
        <f t="shared" si="51"/>
        <v>1851.67</v>
      </c>
      <c r="K776" s="14">
        <f t="shared" si="52"/>
        <v>0</v>
      </c>
      <c r="L776" s="14">
        <f t="shared" si="53"/>
        <v>0</v>
      </c>
    </row>
    <row r="777" spans="2:12" ht="24" outlineLevel="1" x14ac:dyDescent="0.2">
      <c r="B777" s="65" t="s">
        <v>833</v>
      </c>
      <c r="C777" s="315">
        <v>43374</v>
      </c>
      <c r="D777" s="314">
        <v>43524</v>
      </c>
      <c r="E777" s="357">
        <v>5</v>
      </c>
      <c r="F777" s="138">
        <v>1633.83</v>
      </c>
      <c r="G777" s="138">
        <v>1600</v>
      </c>
      <c r="H777" s="241"/>
      <c r="I777" s="125">
        <f t="shared" si="50"/>
        <v>3233.83</v>
      </c>
      <c r="J777" s="231">
        <f t="shared" si="51"/>
        <v>3233.83</v>
      </c>
      <c r="K777" s="14">
        <f t="shared" si="52"/>
        <v>0</v>
      </c>
      <c r="L777" s="14">
        <f t="shared" si="53"/>
        <v>0</v>
      </c>
    </row>
    <row r="778" spans="2:12" ht="24" outlineLevel="1" x14ac:dyDescent="0.2">
      <c r="B778" s="64" t="s">
        <v>279</v>
      </c>
      <c r="C778" s="315">
        <v>43252</v>
      </c>
      <c r="D778" s="314">
        <v>43524</v>
      </c>
      <c r="E778" s="357">
        <v>5</v>
      </c>
      <c r="F778" s="138">
        <v>1851.66</v>
      </c>
      <c r="G778" s="138"/>
      <c r="H778" s="241"/>
      <c r="I778" s="125">
        <f t="shared" si="50"/>
        <v>1851.66</v>
      </c>
      <c r="J778" s="231">
        <f t="shared" si="51"/>
        <v>1851.66</v>
      </c>
      <c r="K778" s="14">
        <f t="shared" si="52"/>
        <v>0</v>
      </c>
      <c r="L778" s="14">
        <f t="shared" si="53"/>
        <v>0</v>
      </c>
    </row>
    <row r="779" spans="2:12" ht="24" outlineLevel="1" x14ac:dyDescent="0.2">
      <c r="B779" s="65" t="s">
        <v>834</v>
      </c>
      <c r="C779" s="315">
        <v>43374</v>
      </c>
      <c r="D779" s="314">
        <v>43585</v>
      </c>
      <c r="E779" s="357">
        <v>5</v>
      </c>
      <c r="F779" s="138">
        <v>1851.67</v>
      </c>
      <c r="G779" s="138"/>
      <c r="H779" s="241"/>
      <c r="I779" s="125">
        <f t="shared" si="50"/>
        <v>1851.67</v>
      </c>
      <c r="J779" s="231">
        <f t="shared" si="51"/>
        <v>1851.67</v>
      </c>
      <c r="K779" s="14">
        <f t="shared" si="52"/>
        <v>0</v>
      </c>
      <c r="L779" s="14">
        <f t="shared" si="53"/>
        <v>0</v>
      </c>
    </row>
    <row r="780" spans="2:12" ht="30" customHeight="1" outlineLevel="1" x14ac:dyDescent="0.2">
      <c r="B780" s="65" t="s">
        <v>835</v>
      </c>
      <c r="C780" s="315">
        <v>43405</v>
      </c>
      <c r="D780" s="314">
        <v>43799</v>
      </c>
      <c r="E780" s="357">
        <v>5</v>
      </c>
      <c r="F780" s="138">
        <v>4984.3999999999996</v>
      </c>
      <c r="G780" s="138"/>
      <c r="H780" s="241"/>
      <c r="I780" s="125">
        <f t="shared" si="50"/>
        <v>4984.3999999999996</v>
      </c>
      <c r="J780" s="231">
        <f t="shared" si="51"/>
        <v>4984.3999999999996</v>
      </c>
      <c r="K780" s="14">
        <f t="shared" si="52"/>
        <v>0</v>
      </c>
      <c r="L780" s="14">
        <f t="shared" si="53"/>
        <v>0</v>
      </c>
    </row>
    <row r="781" spans="2:12" ht="24" outlineLevel="1" x14ac:dyDescent="0.2">
      <c r="B781" s="65" t="s">
        <v>836</v>
      </c>
      <c r="C781" s="315">
        <v>43405</v>
      </c>
      <c r="D781" s="314">
        <v>43646</v>
      </c>
      <c r="E781" s="357">
        <v>5</v>
      </c>
      <c r="F781" s="138">
        <v>1851.67</v>
      </c>
      <c r="G781" s="138"/>
      <c r="H781" s="241"/>
      <c r="I781" s="125">
        <f t="shared" si="50"/>
        <v>1851.67</v>
      </c>
      <c r="J781" s="231">
        <f t="shared" si="51"/>
        <v>1851.67</v>
      </c>
      <c r="K781" s="14">
        <f t="shared" si="52"/>
        <v>0</v>
      </c>
      <c r="L781" s="14">
        <f t="shared" si="53"/>
        <v>0</v>
      </c>
    </row>
    <row r="782" spans="2:12" ht="24" outlineLevel="1" x14ac:dyDescent="0.2">
      <c r="B782" s="65" t="s">
        <v>837</v>
      </c>
      <c r="C782" s="315">
        <v>43435</v>
      </c>
      <c r="D782" s="314">
        <v>43738</v>
      </c>
      <c r="E782" s="357">
        <v>5</v>
      </c>
      <c r="F782" s="138">
        <v>1851.68</v>
      </c>
      <c r="G782" s="138"/>
      <c r="H782" s="241"/>
      <c r="I782" s="125">
        <f t="shared" si="50"/>
        <v>1851.68</v>
      </c>
      <c r="J782" s="231">
        <f t="shared" si="51"/>
        <v>1851.68</v>
      </c>
      <c r="K782" s="14">
        <f t="shared" si="52"/>
        <v>0</v>
      </c>
      <c r="L782" s="14">
        <f t="shared" si="53"/>
        <v>0</v>
      </c>
    </row>
    <row r="783" spans="2:12" outlineLevel="1" x14ac:dyDescent="0.2">
      <c r="B783" s="64" t="s">
        <v>153</v>
      </c>
      <c r="C783" s="315">
        <v>43160</v>
      </c>
      <c r="D783" s="314">
        <v>43738</v>
      </c>
      <c r="E783" s="357">
        <v>35</v>
      </c>
      <c r="F783" s="138">
        <v>5091.92</v>
      </c>
      <c r="G783" s="138">
        <v>94087.09</v>
      </c>
      <c r="H783" s="241"/>
      <c r="I783" s="125">
        <f t="shared" si="50"/>
        <v>99179.01</v>
      </c>
      <c r="J783" s="231">
        <f t="shared" si="51"/>
        <v>99179.01</v>
      </c>
      <c r="K783" s="14">
        <f t="shared" si="52"/>
        <v>0</v>
      </c>
      <c r="L783" s="14">
        <f t="shared" si="53"/>
        <v>0</v>
      </c>
    </row>
    <row r="784" spans="2:12" outlineLevel="1" x14ac:dyDescent="0.2">
      <c r="B784" s="64" t="s">
        <v>378</v>
      </c>
      <c r="C784" s="315">
        <v>43344</v>
      </c>
      <c r="D784" s="314">
        <v>43524</v>
      </c>
      <c r="E784" s="357">
        <v>5</v>
      </c>
      <c r="F784" s="138">
        <v>1307.07</v>
      </c>
      <c r="G784" s="138"/>
      <c r="H784" s="241"/>
      <c r="I784" s="125">
        <f t="shared" ref="I784:I815" si="54">F784+G784+H784</f>
        <v>1307.07</v>
      </c>
      <c r="J784" s="231">
        <f t="shared" ref="J784:J815" si="55">I784</f>
        <v>1307.07</v>
      </c>
      <c r="K784" s="14">
        <f t="shared" ref="K784:K815" si="56">I784-J784</f>
        <v>0</v>
      </c>
      <c r="L784" s="14">
        <f t="shared" ref="L784:L815" si="57">I784-J784</f>
        <v>0</v>
      </c>
    </row>
    <row r="785" spans="2:12" outlineLevel="1" x14ac:dyDescent="0.2">
      <c r="B785" s="65" t="s">
        <v>838</v>
      </c>
      <c r="C785" s="315">
        <v>43374</v>
      </c>
      <c r="D785" s="314">
        <v>43738</v>
      </c>
      <c r="E785" s="357">
        <v>5</v>
      </c>
      <c r="F785" s="138">
        <v>1851.67</v>
      </c>
      <c r="G785" s="138"/>
      <c r="H785" s="241"/>
      <c r="I785" s="125">
        <f t="shared" si="54"/>
        <v>1851.67</v>
      </c>
      <c r="J785" s="231">
        <f t="shared" si="55"/>
        <v>1851.67</v>
      </c>
      <c r="K785" s="14">
        <f t="shared" si="56"/>
        <v>0</v>
      </c>
      <c r="L785" s="14">
        <f t="shared" si="57"/>
        <v>0</v>
      </c>
    </row>
    <row r="786" spans="2:12" ht="39" customHeight="1" outlineLevel="1" x14ac:dyDescent="0.2">
      <c r="B786" s="65" t="s">
        <v>839</v>
      </c>
      <c r="C786" s="315">
        <v>43374</v>
      </c>
      <c r="D786" s="314">
        <v>43646</v>
      </c>
      <c r="E786" s="357">
        <v>5</v>
      </c>
      <c r="F786" s="138">
        <v>1851.67</v>
      </c>
      <c r="G786" s="138"/>
      <c r="H786" s="241"/>
      <c r="I786" s="125">
        <f t="shared" si="54"/>
        <v>1851.67</v>
      </c>
      <c r="J786" s="231">
        <f t="shared" si="55"/>
        <v>1851.67</v>
      </c>
      <c r="K786" s="14">
        <f t="shared" si="56"/>
        <v>0</v>
      </c>
      <c r="L786" s="14">
        <f t="shared" si="57"/>
        <v>0</v>
      </c>
    </row>
    <row r="787" spans="2:12" outlineLevel="1" x14ac:dyDescent="0.2">
      <c r="B787" s="65" t="s">
        <v>840</v>
      </c>
      <c r="C787" s="315">
        <v>43405</v>
      </c>
      <c r="D787" s="314">
        <v>43677</v>
      </c>
      <c r="E787" s="357">
        <v>5</v>
      </c>
      <c r="F787" s="138">
        <v>1851.67</v>
      </c>
      <c r="G787" s="138"/>
      <c r="H787" s="241"/>
      <c r="I787" s="125">
        <f t="shared" si="54"/>
        <v>1851.67</v>
      </c>
      <c r="J787" s="231">
        <f t="shared" si="55"/>
        <v>1851.67</v>
      </c>
      <c r="K787" s="14">
        <f t="shared" si="56"/>
        <v>0</v>
      </c>
      <c r="L787" s="14">
        <f t="shared" si="57"/>
        <v>0</v>
      </c>
    </row>
    <row r="788" spans="2:12" ht="24" outlineLevel="1" x14ac:dyDescent="0.2">
      <c r="B788" s="64" t="s">
        <v>280</v>
      </c>
      <c r="C788" s="315">
        <v>43221</v>
      </c>
      <c r="D788" s="314">
        <v>43555</v>
      </c>
      <c r="E788" s="357">
        <v>5</v>
      </c>
      <c r="F788" s="138">
        <v>1851.66</v>
      </c>
      <c r="G788" s="138"/>
      <c r="H788" s="241"/>
      <c r="I788" s="125">
        <f t="shared" si="54"/>
        <v>1851.66</v>
      </c>
      <c r="J788" s="231">
        <f t="shared" si="55"/>
        <v>1851.66</v>
      </c>
      <c r="K788" s="14">
        <f t="shared" si="56"/>
        <v>0</v>
      </c>
      <c r="L788" s="14">
        <f t="shared" si="57"/>
        <v>0</v>
      </c>
    </row>
    <row r="789" spans="2:12" ht="33.75" customHeight="1" outlineLevel="1" x14ac:dyDescent="0.2">
      <c r="B789" s="64" t="s">
        <v>379</v>
      </c>
      <c r="C789" s="315">
        <v>43282</v>
      </c>
      <c r="D789" s="314">
        <v>43738</v>
      </c>
      <c r="E789" s="357">
        <v>15</v>
      </c>
      <c r="F789" s="138">
        <v>5158.25</v>
      </c>
      <c r="G789" s="138">
        <v>14447</v>
      </c>
      <c r="H789" s="241"/>
      <c r="I789" s="125">
        <f t="shared" si="54"/>
        <v>19605.25</v>
      </c>
      <c r="J789" s="231">
        <f t="shared" si="55"/>
        <v>19605.25</v>
      </c>
      <c r="K789" s="14">
        <f t="shared" si="56"/>
        <v>0</v>
      </c>
      <c r="L789" s="14">
        <f t="shared" si="57"/>
        <v>0</v>
      </c>
    </row>
    <row r="790" spans="2:12" ht="29.25" customHeight="1" outlineLevel="1" x14ac:dyDescent="0.2">
      <c r="B790" s="64" t="s">
        <v>380</v>
      </c>
      <c r="C790" s="315">
        <v>43282</v>
      </c>
      <c r="D790" s="314">
        <v>43738</v>
      </c>
      <c r="E790" s="357">
        <v>10</v>
      </c>
      <c r="F790" s="138"/>
      <c r="G790" s="138">
        <v>14599</v>
      </c>
      <c r="H790" s="241"/>
      <c r="I790" s="125">
        <f t="shared" si="54"/>
        <v>14599</v>
      </c>
      <c r="J790" s="231">
        <f t="shared" si="55"/>
        <v>14599</v>
      </c>
      <c r="K790" s="14">
        <f t="shared" si="56"/>
        <v>0</v>
      </c>
      <c r="L790" s="14">
        <f t="shared" si="57"/>
        <v>0</v>
      </c>
    </row>
    <row r="791" spans="2:12" ht="29.25" customHeight="1" outlineLevel="1" x14ac:dyDescent="0.2">
      <c r="B791" s="65" t="s">
        <v>841</v>
      </c>
      <c r="C791" s="315">
        <v>43435</v>
      </c>
      <c r="D791" s="314">
        <v>43524</v>
      </c>
      <c r="E791" s="357">
        <v>5</v>
      </c>
      <c r="F791" s="138">
        <v>2184.9899999999998</v>
      </c>
      <c r="G791" s="138"/>
      <c r="H791" s="241"/>
      <c r="I791" s="125">
        <f t="shared" si="54"/>
        <v>2184.9899999999998</v>
      </c>
      <c r="J791" s="231">
        <f t="shared" si="55"/>
        <v>2184.9899999999998</v>
      </c>
      <c r="K791" s="14">
        <f t="shared" si="56"/>
        <v>0</v>
      </c>
      <c r="L791" s="14">
        <f t="shared" si="57"/>
        <v>0</v>
      </c>
    </row>
    <row r="792" spans="2:12" ht="44.25" customHeight="1" outlineLevel="1" x14ac:dyDescent="0.2">
      <c r="B792" s="64" t="s">
        <v>41</v>
      </c>
      <c r="C792" s="315">
        <v>42826</v>
      </c>
      <c r="D792" s="314">
        <v>43646</v>
      </c>
      <c r="E792" s="357">
        <v>15</v>
      </c>
      <c r="F792" s="138">
        <v>9432.7800000000007</v>
      </c>
      <c r="G792" s="299">
        <v>45000</v>
      </c>
      <c r="H792" s="241"/>
      <c r="I792" s="125">
        <f t="shared" si="54"/>
        <v>54432.78</v>
      </c>
      <c r="J792" s="231">
        <f t="shared" si="55"/>
        <v>54432.78</v>
      </c>
      <c r="K792" s="14">
        <f t="shared" si="56"/>
        <v>0</v>
      </c>
      <c r="L792" s="14">
        <f t="shared" si="57"/>
        <v>0</v>
      </c>
    </row>
    <row r="793" spans="2:12" ht="35.25" customHeight="1" outlineLevel="1" x14ac:dyDescent="0.2">
      <c r="B793" s="64" t="s">
        <v>118</v>
      </c>
      <c r="C793" s="315">
        <v>43070</v>
      </c>
      <c r="D793" s="314">
        <v>43830</v>
      </c>
      <c r="E793" s="357">
        <v>5</v>
      </c>
      <c r="F793" s="138">
        <v>1929.04</v>
      </c>
      <c r="G793" s="138"/>
      <c r="H793" s="241"/>
      <c r="I793" s="125">
        <f t="shared" si="54"/>
        <v>1929.04</v>
      </c>
      <c r="J793" s="231">
        <f t="shared" si="55"/>
        <v>1929.04</v>
      </c>
      <c r="K793" s="14">
        <f t="shared" si="56"/>
        <v>0</v>
      </c>
      <c r="L793" s="14">
        <f t="shared" si="57"/>
        <v>0</v>
      </c>
    </row>
    <row r="794" spans="2:12" ht="24" outlineLevel="1" x14ac:dyDescent="0.2">
      <c r="B794" s="64" t="s">
        <v>119</v>
      </c>
      <c r="C794" s="315">
        <v>43070</v>
      </c>
      <c r="D794" s="314">
        <v>43616</v>
      </c>
      <c r="E794" s="357">
        <v>5</v>
      </c>
      <c r="F794" s="138">
        <v>1929.04</v>
      </c>
      <c r="G794" s="138"/>
      <c r="H794" s="241"/>
      <c r="I794" s="125">
        <f t="shared" si="54"/>
        <v>1929.04</v>
      </c>
      <c r="J794" s="231">
        <f t="shared" si="55"/>
        <v>1929.04</v>
      </c>
      <c r="K794" s="14">
        <f t="shared" si="56"/>
        <v>0</v>
      </c>
      <c r="L794" s="14">
        <f t="shared" si="57"/>
        <v>0</v>
      </c>
    </row>
    <row r="795" spans="2:12" ht="27.75" customHeight="1" outlineLevel="1" x14ac:dyDescent="0.2">
      <c r="B795" s="65" t="s">
        <v>842</v>
      </c>
      <c r="C795" s="315">
        <v>43435</v>
      </c>
      <c r="D795" s="314">
        <v>43555</v>
      </c>
      <c r="E795" s="357">
        <v>5</v>
      </c>
      <c r="F795" s="138">
        <v>1307.07</v>
      </c>
      <c r="G795" s="138"/>
      <c r="H795" s="241"/>
      <c r="I795" s="125">
        <f t="shared" si="54"/>
        <v>1307.07</v>
      </c>
      <c r="J795" s="231">
        <f t="shared" si="55"/>
        <v>1307.07</v>
      </c>
      <c r="K795" s="14">
        <f t="shared" si="56"/>
        <v>0</v>
      </c>
      <c r="L795" s="14">
        <f t="shared" si="57"/>
        <v>0</v>
      </c>
    </row>
    <row r="796" spans="2:12" ht="24" outlineLevel="1" x14ac:dyDescent="0.2">
      <c r="B796" s="64" t="s">
        <v>281</v>
      </c>
      <c r="C796" s="315">
        <v>43221</v>
      </c>
      <c r="D796" s="314">
        <v>43830</v>
      </c>
      <c r="E796" s="357">
        <v>15</v>
      </c>
      <c r="F796" s="138">
        <v>2692.11</v>
      </c>
      <c r="G796" s="138">
        <v>15035</v>
      </c>
      <c r="H796" s="241"/>
      <c r="I796" s="125">
        <f t="shared" si="54"/>
        <v>17727.11</v>
      </c>
      <c r="J796" s="231">
        <f t="shared" si="55"/>
        <v>17727.11</v>
      </c>
      <c r="K796" s="14">
        <f t="shared" si="56"/>
        <v>0</v>
      </c>
      <c r="L796" s="14">
        <f t="shared" si="57"/>
        <v>0</v>
      </c>
    </row>
    <row r="797" spans="2:12" ht="30" customHeight="1" outlineLevel="1" x14ac:dyDescent="0.2">
      <c r="B797" s="64" t="s">
        <v>282</v>
      </c>
      <c r="C797" s="315">
        <v>43252</v>
      </c>
      <c r="D797" s="314">
        <v>43830</v>
      </c>
      <c r="E797" s="357">
        <v>5</v>
      </c>
      <c r="F797" s="138">
        <v>2314.6</v>
      </c>
      <c r="G797" s="138"/>
      <c r="H797" s="241"/>
      <c r="I797" s="125">
        <f t="shared" si="54"/>
        <v>2314.6</v>
      </c>
      <c r="J797" s="231">
        <f t="shared" si="55"/>
        <v>2314.6</v>
      </c>
      <c r="K797" s="14">
        <f t="shared" si="56"/>
        <v>0</v>
      </c>
      <c r="L797" s="14">
        <f t="shared" si="57"/>
        <v>0</v>
      </c>
    </row>
    <row r="798" spans="2:12" ht="18" customHeight="1" outlineLevel="1" x14ac:dyDescent="0.2">
      <c r="B798" s="64" t="s">
        <v>283</v>
      </c>
      <c r="C798" s="315">
        <v>43221</v>
      </c>
      <c r="D798" s="314">
        <v>43616</v>
      </c>
      <c r="E798" s="357">
        <v>15</v>
      </c>
      <c r="F798" s="138">
        <v>8089.95</v>
      </c>
      <c r="G798" s="138">
        <v>18181</v>
      </c>
      <c r="H798" s="241"/>
      <c r="I798" s="125">
        <f t="shared" si="54"/>
        <v>26270.95</v>
      </c>
      <c r="J798" s="231">
        <f t="shared" si="55"/>
        <v>26270.95</v>
      </c>
      <c r="K798" s="14">
        <f t="shared" si="56"/>
        <v>0</v>
      </c>
      <c r="L798" s="14">
        <f t="shared" si="57"/>
        <v>0</v>
      </c>
    </row>
    <row r="799" spans="2:12" ht="27" customHeight="1" outlineLevel="1" x14ac:dyDescent="0.2">
      <c r="B799" s="64" t="s">
        <v>154</v>
      </c>
      <c r="C799" s="315">
        <v>43160</v>
      </c>
      <c r="D799" s="314">
        <v>43555</v>
      </c>
      <c r="E799" s="357">
        <v>15</v>
      </c>
      <c r="F799" s="138">
        <v>5001.8599999999997</v>
      </c>
      <c r="G799" s="138">
        <v>1600</v>
      </c>
      <c r="H799" s="241"/>
      <c r="I799" s="125">
        <f t="shared" si="54"/>
        <v>6601.86</v>
      </c>
      <c r="J799" s="231">
        <f t="shared" si="55"/>
        <v>6601.86</v>
      </c>
      <c r="K799" s="14">
        <f t="shared" si="56"/>
        <v>0</v>
      </c>
      <c r="L799" s="14">
        <f t="shared" si="57"/>
        <v>0</v>
      </c>
    </row>
    <row r="800" spans="2:12" ht="27" customHeight="1" outlineLevel="1" x14ac:dyDescent="0.2">
      <c r="B800" s="65" t="s">
        <v>843</v>
      </c>
      <c r="C800" s="315">
        <v>43374</v>
      </c>
      <c r="D800" s="314">
        <v>43738</v>
      </c>
      <c r="E800" s="357">
        <v>5</v>
      </c>
      <c r="F800" s="138">
        <v>1523.58</v>
      </c>
      <c r="G800" s="138"/>
      <c r="H800" s="241"/>
      <c r="I800" s="125">
        <f t="shared" si="54"/>
        <v>1523.58</v>
      </c>
      <c r="J800" s="231">
        <f t="shared" si="55"/>
        <v>1523.58</v>
      </c>
      <c r="K800" s="14">
        <f t="shared" si="56"/>
        <v>0</v>
      </c>
      <c r="L800" s="14">
        <f t="shared" si="57"/>
        <v>0</v>
      </c>
    </row>
    <row r="801" spans="2:12" ht="27" customHeight="1" outlineLevel="1" x14ac:dyDescent="0.2">
      <c r="B801" s="65" t="s">
        <v>844</v>
      </c>
      <c r="C801" s="315">
        <v>43405</v>
      </c>
      <c r="D801" s="314">
        <v>43646</v>
      </c>
      <c r="E801" s="357">
        <v>5</v>
      </c>
      <c r="F801" s="138">
        <v>4166.2700000000004</v>
      </c>
      <c r="G801" s="138"/>
      <c r="H801" s="241"/>
      <c r="I801" s="125">
        <f t="shared" si="54"/>
        <v>4166.2700000000004</v>
      </c>
      <c r="J801" s="231">
        <f t="shared" si="55"/>
        <v>4166.2700000000004</v>
      </c>
      <c r="K801" s="14">
        <f t="shared" si="56"/>
        <v>0</v>
      </c>
      <c r="L801" s="14">
        <f t="shared" si="57"/>
        <v>0</v>
      </c>
    </row>
    <row r="802" spans="2:12" ht="27" customHeight="1" outlineLevel="1" x14ac:dyDescent="0.2">
      <c r="B802" s="64" t="s">
        <v>381</v>
      </c>
      <c r="C802" s="315">
        <v>43313</v>
      </c>
      <c r="D802" s="314">
        <v>43555</v>
      </c>
      <c r="E802" s="357">
        <v>10</v>
      </c>
      <c r="F802" s="138">
        <v>9540.67</v>
      </c>
      <c r="G802" s="138"/>
      <c r="H802" s="241"/>
      <c r="I802" s="125">
        <f t="shared" si="54"/>
        <v>9540.67</v>
      </c>
      <c r="J802" s="231">
        <f t="shared" si="55"/>
        <v>9540.67</v>
      </c>
      <c r="K802" s="14">
        <f t="shared" si="56"/>
        <v>0</v>
      </c>
      <c r="L802" s="14">
        <f t="shared" si="57"/>
        <v>0</v>
      </c>
    </row>
    <row r="803" spans="2:12" ht="57" customHeight="1" outlineLevel="1" x14ac:dyDescent="0.2">
      <c r="B803" s="65" t="s">
        <v>845</v>
      </c>
      <c r="C803" s="315">
        <v>43435</v>
      </c>
      <c r="D803" s="314">
        <v>43524</v>
      </c>
      <c r="E803" s="357">
        <v>5</v>
      </c>
      <c r="F803" s="138">
        <v>4194.04</v>
      </c>
      <c r="G803" s="138"/>
      <c r="H803" s="241"/>
      <c r="I803" s="125">
        <f t="shared" si="54"/>
        <v>4194.04</v>
      </c>
      <c r="J803" s="231">
        <f t="shared" si="55"/>
        <v>4194.04</v>
      </c>
      <c r="K803" s="14">
        <f t="shared" si="56"/>
        <v>0</v>
      </c>
      <c r="L803" s="14">
        <f t="shared" si="57"/>
        <v>0</v>
      </c>
    </row>
    <row r="804" spans="2:12" ht="57" customHeight="1" outlineLevel="1" x14ac:dyDescent="0.2">
      <c r="B804" s="64" t="s">
        <v>284</v>
      </c>
      <c r="C804" s="315">
        <v>43221</v>
      </c>
      <c r="D804" s="314">
        <v>43524</v>
      </c>
      <c r="E804" s="357">
        <v>10</v>
      </c>
      <c r="F804" s="138">
        <v>2660.1</v>
      </c>
      <c r="G804" s="138">
        <v>1600</v>
      </c>
      <c r="H804" s="241"/>
      <c r="I804" s="125">
        <f t="shared" si="54"/>
        <v>4260.1000000000004</v>
      </c>
      <c r="J804" s="231">
        <f t="shared" si="55"/>
        <v>4260.1000000000004</v>
      </c>
      <c r="K804" s="14">
        <f t="shared" si="56"/>
        <v>0</v>
      </c>
      <c r="L804" s="14">
        <f t="shared" si="57"/>
        <v>0</v>
      </c>
    </row>
    <row r="805" spans="2:12" ht="54.75" customHeight="1" outlineLevel="1" x14ac:dyDescent="0.2">
      <c r="B805" s="64" t="s">
        <v>42</v>
      </c>
      <c r="C805" s="315">
        <v>42826</v>
      </c>
      <c r="D805" s="314">
        <v>43524</v>
      </c>
      <c r="E805" s="357">
        <v>5</v>
      </c>
      <c r="F805" s="138">
        <v>8299.4599999999991</v>
      </c>
      <c r="G805" s="299"/>
      <c r="H805" s="241"/>
      <c r="I805" s="125">
        <f t="shared" si="54"/>
        <v>8299.4599999999991</v>
      </c>
      <c r="J805" s="231">
        <f t="shared" si="55"/>
        <v>8299.4599999999991</v>
      </c>
      <c r="K805" s="14">
        <f t="shared" si="56"/>
        <v>0</v>
      </c>
      <c r="L805" s="14">
        <f t="shared" si="57"/>
        <v>0</v>
      </c>
    </row>
    <row r="806" spans="2:12" ht="27" customHeight="1" outlineLevel="1" x14ac:dyDescent="0.2">
      <c r="B806" s="64" t="s">
        <v>382</v>
      </c>
      <c r="C806" s="315">
        <v>43282</v>
      </c>
      <c r="D806" s="314">
        <v>43524</v>
      </c>
      <c r="E806" s="357">
        <v>10</v>
      </c>
      <c r="F806" s="138">
        <v>1633.83</v>
      </c>
      <c r="G806" s="138">
        <v>1600</v>
      </c>
      <c r="H806" s="241"/>
      <c r="I806" s="125">
        <f t="shared" si="54"/>
        <v>3233.83</v>
      </c>
      <c r="J806" s="231">
        <f t="shared" si="55"/>
        <v>3233.83</v>
      </c>
      <c r="K806" s="14">
        <f t="shared" si="56"/>
        <v>0</v>
      </c>
      <c r="L806" s="14">
        <f t="shared" si="57"/>
        <v>0</v>
      </c>
    </row>
    <row r="807" spans="2:12" ht="27" customHeight="1" outlineLevel="1" x14ac:dyDescent="0.2">
      <c r="B807" s="64" t="s">
        <v>285</v>
      </c>
      <c r="C807" s="315">
        <v>43221</v>
      </c>
      <c r="D807" s="314">
        <v>43646</v>
      </c>
      <c r="E807" s="357">
        <v>5</v>
      </c>
      <c r="F807" s="138">
        <v>5938.58</v>
      </c>
      <c r="G807" s="138"/>
      <c r="H807" s="241"/>
      <c r="I807" s="125">
        <f t="shared" si="54"/>
        <v>5938.58</v>
      </c>
      <c r="J807" s="231">
        <f t="shared" si="55"/>
        <v>5938.58</v>
      </c>
      <c r="K807" s="14">
        <f t="shared" si="56"/>
        <v>0</v>
      </c>
      <c r="L807" s="14">
        <f t="shared" si="57"/>
        <v>0</v>
      </c>
    </row>
    <row r="808" spans="2:12" ht="27" customHeight="1" outlineLevel="1" x14ac:dyDescent="0.2">
      <c r="B808" s="64" t="s">
        <v>286</v>
      </c>
      <c r="C808" s="315">
        <v>43221</v>
      </c>
      <c r="D808" s="314">
        <v>43585</v>
      </c>
      <c r="E808" s="357">
        <v>5</v>
      </c>
      <c r="F808" s="138">
        <v>4903.9399999999996</v>
      </c>
      <c r="G808" s="138"/>
      <c r="H808" s="241"/>
      <c r="I808" s="125">
        <f t="shared" si="54"/>
        <v>4903.9399999999996</v>
      </c>
      <c r="J808" s="231">
        <f t="shared" si="55"/>
        <v>4903.9399999999996</v>
      </c>
      <c r="K808" s="14">
        <f t="shared" si="56"/>
        <v>0</v>
      </c>
      <c r="L808" s="14">
        <f t="shared" si="57"/>
        <v>0</v>
      </c>
    </row>
    <row r="809" spans="2:12" ht="27" customHeight="1" outlineLevel="1" x14ac:dyDescent="0.2">
      <c r="B809" s="65" t="s">
        <v>846</v>
      </c>
      <c r="C809" s="315">
        <v>43435</v>
      </c>
      <c r="D809" s="314">
        <v>43524</v>
      </c>
      <c r="E809" s="357">
        <v>5</v>
      </c>
      <c r="F809" s="138">
        <v>1523.59</v>
      </c>
      <c r="G809" s="138"/>
      <c r="H809" s="241"/>
      <c r="I809" s="125">
        <f t="shared" si="54"/>
        <v>1523.59</v>
      </c>
      <c r="J809" s="231">
        <f t="shared" si="55"/>
        <v>1523.59</v>
      </c>
      <c r="K809" s="14">
        <f t="shared" si="56"/>
        <v>0</v>
      </c>
      <c r="L809" s="14">
        <f t="shared" si="57"/>
        <v>0</v>
      </c>
    </row>
    <row r="810" spans="2:12" ht="27" customHeight="1" outlineLevel="1" x14ac:dyDescent="0.2">
      <c r="B810" s="65" t="s">
        <v>847</v>
      </c>
      <c r="C810" s="315">
        <v>43435</v>
      </c>
      <c r="D810" s="314">
        <v>43677</v>
      </c>
      <c r="E810" s="357">
        <v>5</v>
      </c>
      <c r="F810" s="138">
        <v>4166.2700000000004</v>
      </c>
      <c r="G810" s="138"/>
      <c r="H810" s="241"/>
      <c r="I810" s="125">
        <f t="shared" si="54"/>
        <v>4166.2700000000004</v>
      </c>
      <c r="J810" s="231">
        <f t="shared" si="55"/>
        <v>4166.2700000000004</v>
      </c>
      <c r="K810" s="14">
        <f t="shared" si="56"/>
        <v>0</v>
      </c>
      <c r="L810" s="14">
        <f t="shared" si="57"/>
        <v>0</v>
      </c>
    </row>
    <row r="811" spans="2:12" ht="27" customHeight="1" outlineLevel="1" x14ac:dyDescent="0.2">
      <c r="B811" s="64" t="s">
        <v>383</v>
      </c>
      <c r="C811" s="315">
        <v>43344</v>
      </c>
      <c r="D811" s="314">
        <v>43524</v>
      </c>
      <c r="E811" s="357">
        <v>5</v>
      </c>
      <c r="F811" s="138">
        <v>2314.6</v>
      </c>
      <c r="G811" s="138"/>
      <c r="H811" s="241"/>
      <c r="I811" s="125">
        <f t="shared" si="54"/>
        <v>2314.6</v>
      </c>
      <c r="J811" s="231">
        <f t="shared" si="55"/>
        <v>2314.6</v>
      </c>
      <c r="K811" s="14">
        <f t="shared" si="56"/>
        <v>0</v>
      </c>
      <c r="L811" s="14">
        <f t="shared" si="57"/>
        <v>0</v>
      </c>
    </row>
    <row r="812" spans="2:12" ht="27" customHeight="1" outlineLevel="1" x14ac:dyDescent="0.2">
      <c r="B812" s="64" t="s">
        <v>43</v>
      </c>
      <c r="C812" s="315">
        <v>42948</v>
      </c>
      <c r="D812" s="314">
        <v>43677</v>
      </c>
      <c r="E812" s="357">
        <v>5</v>
      </c>
      <c r="F812" s="138">
        <v>8299.4599999999991</v>
      </c>
      <c r="G812" s="138"/>
      <c r="H812" s="241"/>
      <c r="I812" s="125">
        <f t="shared" si="54"/>
        <v>8299.4599999999991</v>
      </c>
      <c r="J812" s="231">
        <f t="shared" si="55"/>
        <v>8299.4599999999991</v>
      </c>
      <c r="K812" s="14">
        <f t="shared" si="56"/>
        <v>0</v>
      </c>
      <c r="L812" s="14">
        <f t="shared" si="57"/>
        <v>0</v>
      </c>
    </row>
    <row r="813" spans="2:12" ht="27" customHeight="1" outlineLevel="1" x14ac:dyDescent="0.2">
      <c r="B813" s="65" t="s">
        <v>848</v>
      </c>
      <c r="C813" s="315">
        <v>43405</v>
      </c>
      <c r="D813" s="314">
        <v>43524</v>
      </c>
      <c r="E813" s="357">
        <v>5</v>
      </c>
      <c r="F813" s="138">
        <v>1633.83</v>
      </c>
      <c r="G813" s="138"/>
      <c r="H813" s="241"/>
      <c r="I813" s="125">
        <f t="shared" si="54"/>
        <v>1633.83</v>
      </c>
      <c r="J813" s="231">
        <f t="shared" si="55"/>
        <v>1633.83</v>
      </c>
      <c r="K813" s="14">
        <f t="shared" si="56"/>
        <v>0</v>
      </c>
      <c r="L813" s="14">
        <f t="shared" si="57"/>
        <v>0</v>
      </c>
    </row>
    <row r="814" spans="2:12" ht="27" customHeight="1" outlineLevel="1" x14ac:dyDescent="0.2">
      <c r="B814" s="64" t="s">
        <v>287</v>
      </c>
      <c r="C814" s="315">
        <v>43221</v>
      </c>
      <c r="D814" s="314">
        <v>43524</v>
      </c>
      <c r="E814" s="357">
        <v>50</v>
      </c>
      <c r="F814" s="138">
        <v>6035.26</v>
      </c>
      <c r="G814" s="138">
        <v>127740</v>
      </c>
      <c r="H814" s="241"/>
      <c r="I814" s="125">
        <f t="shared" si="54"/>
        <v>133775.26</v>
      </c>
      <c r="J814" s="231">
        <f t="shared" si="55"/>
        <v>133775.26</v>
      </c>
      <c r="K814" s="14">
        <f t="shared" si="56"/>
        <v>0</v>
      </c>
      <c r="L814" s="14">
        <f t="shared" si="57"/>
        <v>0</v>
      </c>
    </row>
    <row r="815" spans="2:12" ht="27" customHeight="1" outlineLevel="1" x14ac:dyDescent="0.2">
      <c r="B815" s="64" t="s">
        <v>120</v>
      </c>
      <c r="C815" s="315">
        <v>43070</v>
      </c>
      <c r="D815" s="314">
        <v>43738</v>
      </c>
      <c r="E815" s="357">
        <v>5</v>
      </c>
      <c r="F815" s="138">
        <v>6881.74</v>
      </c>
      <c r="G815" s="138"/>
      <c r="H815" s="241"/>
      <c r="I815" s="125">
        <f t="shared" si="54"/>
        <v>6881.74</v>
      </c>
      <c r="J815" s="231">
        <f t="shared" si="55"/>
        <v>6881.74</v>
      </c>
      <c r="K815" s="14">
        <f t="shared" si="56"/>
        <v>0</v>
      </c>
      <c r="L815" s="14">
        <f t="shared" si="57"/>
        <v>0</v>
      </c>
    </row>
    <row r="816" spans="2:12" ht="27" customHeight="1" outlineLevel="1" x14ac:dyDescent="0.2">
      <c r="B816" s="64" t="s">
        <v>121</v>
      </c>
      <c r="C816" s="315">
        <v>43040</v>
      </c>
      <c r="D816" s="314">
        <v>43830</v>
      </c>
      <c r="E816" s="357">
        <v>5</v>
      </c>
      <c r="F816" s="138">
        <v>1361.67</v>
      </c>
      <c r="G816" s="138"/>
      <c r="H816" s="241"/>
      <c r="I816" s="125">
        <f t="shared" ref="I816:I847" si="58">F816+G816+H816</f>
        <v>1361.67</v>
      </c>
      <c r="J816" s="231">
        <f t="shared" ref="J816:J847" si="59">I816</f>
        <v>1361.67</v>
      </c>
      <c r="K816" s="14">
        <f t="shared" ref="K816:K847" si="60">I816-J816</f>
        <v>0</v>
      </c>
      <c r="L816" s="14">
        <f t="shared" ref="L816:L847" si="61">I816-J816</f>
        <v>0</v>
      </c>
    </row>
    <row r="817" spans="2:12" ht="27" customHeight="1" outlineLevel="1" x14ac:dyDescent="0.2">
      <c r="B817" s="64" t="s">
        <v>849</v>
      </c>
      <c r="C817" s="315">
        <v>43435</v>
      </c>
      <c r="D817" s="314">
        <v>43524</v>
      </c>
      <c r="E817" s="357">
        <v>5</v>
      </c>
      <c r="F817" s="138">
        <v>1983.94</v>
      </c>
      <c r="G817" s="138"/>
      <c r="H817" s="241"/>
      <c r="I817" s="125">
        <f t="shared" si="58"/>
        <v>1983.94</v>
      </c>
      <c r="J817" s="231">
        <f t="shared" si="59"/>
        <v>1983.94</v>
      </c>
      <c r="K817" s="14">
        <f t="shared" si="60"/>
        <v>0</v>
      </c>
      <c r="L817" s="14">
        <f t="shared" si="61"/>
        <v>0</v>
      </c>
    </row>
    <row r="818" spans="2:12" ht="27" customHeight="1" outlineLevel="1" x14ac:dyDescent="0.2">
      <c r="B818" s="64" t="s">
        <v>384</v>
      </c>
      <c r="C818" s="315">
        <v>43313</v>
      </c>
      <c r="D818" s="314">
        <v>43524</v>
      </c>
      <c r="E818" s="357">
        <v>5</v>
      </c>
      <c r="F818" s="138">
        <v>2314.6</v>
      </c>
      <c r="G818" s="138"/>
      <c r="H818" s="241"/>
      <c r="I818" s="125">
        <f t="shared" si="58"/>
        <v>2314.6</v>
      </c>
      <c r="J818" s="231">
        <f t="shared" si="59"/>
        <v>2314.6</v>
      </c>
      <c r="K818" s="14">
        <f t="shared" si="60"/>
        <v>0</v>
      </c>
      <c r="L818" s="14">
        <f t="shared" si="61"/>
        <v>0</v>
      </c>
    </row>
    <row r="819" spans="2:12" ht="27" customHeight="1" outlineLevel="1" x14ac:dyDescent="0.2">
      <c r="B819" s="65" t="s">
        <v>850</v>
      </c>
      <c r="C819" s="315">
        <v>43435</v>
      </c>
      <c r="D819" s="314">
        <v>43616</v>
      </c>
      <c r="E819" s="357">
        <v>5</v>
      </c>
      <c r="F819" s="138">
        <v>1587.15</v>
      </c>
      <c r="G819" s="138"/>
      <c r="H819" s="241"/>
      <c r="I819" s="125">
        <f t="shared" si="58"/>
        <v>1587.15</v>
      </c>
      <c r="J819" s="231">
        <f t="shared" si="59"/>
        <v>1587.15</v>
      </c>
      <c r="K819" s="14">
        <f t="shared" si="60"/>
        <v>0</v>
      </c>
      <c r="L819" s="14">
        <f t="shared" si="61"/>
        <v>0</v>
      </c>
    </row>
    <row r="820" spans="2:12" ht="27" customHeight="1" outlineLevel="1" x14ac:dyDescent="0.2">
      <c r="B820" s="64" t="s">
        <v>44</v>
      </c>
      <c r="C820" s="315">
        <v>42887</v>
      </c>
      <c r="D820" s="314">
        <v>43708</v>
      </c>
      <c r="E820" s="357">
        <v>5</v>
      </c>
      <c r="F820" s="138">
        <v>6710.26</v>
      </c>
      <c r="G820" s="299"/>
      <c r="H820" s="241"/>
      <c r="I820" s="125">
        <f t="shared" si="58"/>
        <v>6710.26</v>
      </c>
      <c r="J820" s="231">
        <f t="shared" si="59"/>
        <v>6710.26</v>
      </c>
      <c r="K820" s="14">
        <f t="shared" si="60"/>
        <v>0</v>
      </c>
      <c r="L820" s="14">
        <f t="shared" si="61"/>
        <v>0</v>
      </c>
    </row>
    <row r="821" spans="2:12" ht="27" customHeight="1" outlineLevel="1" x14ac:dyDescent="0.2">
      <c r="B821" s="64" t="s">
        <v>122</v>
      </c>
      <c r="C821" s="315">
        <v>43070</v>
      </c>
      <c r="D821" s="314">
        <v>43555</v>
      </c>
      <c r="E821" s="357">
        <v>10</v>
      </c>
      <c r="F821" s="138">
        <v>3444.72</v>
      </c>
      <c r="G821" s="138">
        <v>4800</v>
      </c>
      <c r="H821" s="241"/>
      <c r="I821" s="125">
        <f t="shared" si="58"/>
        <v>8244.7199999999993</v>
      </c>
      <c r="J821" s="231">
        <f t="shared" si="59"/>
        <v>8244.7199999999993</v>
      </c>
      <c r="K821" s="14">
        <f t="shared" si="60"/>
        <v>0</v>
      </c>
      <c r="L821" s="14">
        <f t="shared" si="61"/>
        <v>0</v>
      </c>
    </row>
    <row r="822" spans="2:12" ht="51" customHeight="1" outlineLevel="1" x14ac:dyDescent="0.2">
      <c r="B822" s="64" t="s">
        <v>45</v>
      </c>
      <c r="C822" s="315">
        <v>42675</v>
      </c>
      <c r="D822" s="314">
        <v>43738</v>
      </c>
      <c r="E822" s="357">
        <v>5</v>
      </c>
      <c r="F822" s="138">
        <v>1962.52</v>
      </c>
      <c r="G822" s="299"/>
      <c r="H822" s="241"/>
      <c r="I822" s="125">
        <f t="shared" si="58"/>
        <v>1962.52</v>
      </c>
      <c r="J822" s="231">
        <f t="shared" si="59"/>
        <v>1962.52</v>
      </c>
      <c r="K822" s="14">
        <f t="shared" si="60"/>
        <v>0</v>
      </c>
      <c r="L822" s="14">
        <f t="shared" si="61"/>
        <v>0</v>
      </c>
    </row>
    <row r="823" spans="2:12" ht="48.75" customHeight="1" outlineLevel="1" x14ac:dyDescent="0.2">
      <c r="B823" s="64" t="s">
        <v>46</v>
      </c>
      <c r="C823" s="315">
        <v>42948</v>
      </c>
      <c r="D823" s="314">
        <v>43738</v>
      </c>
      <c r="E823" s="357">
        <v>15</v>
      </c>
      <c r="F823" s="138">
        <v>9025.4599999999991</v>
      </c>
      <c r="G823" s="300">
        <v>45000</v>
      </c>
      <c r="H823" s="241"/>
      <c r="I823" s="125">
        <f t="shared" si="58"/>
        <v>54025.46</v>
      </c>
      <c r="J823" s="231">
        <f t="shared" si="59"/>
        <v>54025.46</v>
      </c>
      <c r="K823" s="14">
        <f t="shared" si="60"/>
        <v>0</v>
      </c>
      <c r="L823" s="14">
        <f t="shared" si="61"/>
        <v>0</v>
      </c>
    </row>
    <row r="824" spans="2:12" ht="50.25" customHeight="1" outlineLevel="1" x14ac:dyDescent="0.2">
      <c r="B824" s="64" t="s">
        <v>385</v>
      </c>
      <c r="C824" s="315">
        <v>43282</v>
      </c>
      <c r="D824" s="314">
        <v>43738</v>
      </c>
      <c r="E824" s="357">
        <v>10</v>
      </c>
      <c r="F824" s="138">
        <v>5466.22</v>
      </c>
      <c r="G824" s="138"/>
      <c r="H824" s="241"/>
      <c r="I824" s="125">
        <f t="shared" si="58"/>
        <v>5466.22</v>
      </c>
      <c r="J824" s="231">
        <f t="shared" si="59"/>
        <v>5466.22</v>
      </c>
      <c r="K824" s="14">
        <f t="shared" si="60"/>
        <v>0</v>
      </c>
      <c r="L824" s="14">
        <f t="shared" si="61"/>
        <v>0</v>
      </c>
    </row>
    <row r="825" spans="2:12" ht="48" customHeight="1" outlineLevel="1" x14ac:dyDescent="0.2">
      <c r="B825" s="65" t="s">
        <v>851</v>
      </c>
      <c r="C825" s="315">
        <v>43374</v>
      </c>
      <c r="D825" s="314">
        <v>43616</v>
      </c>
      <c r="E825" s="357">
        <v>5</v>
      </c>
      <c r="F825" s="138">
        <v>2314.6</v>
      </c>
      <c r="G825" s="138"/>
      <c r="H825" s="241"/>
      <c r="I825" s="125">
        <f t="shared" si="58"/>
        <v>2314.6</v>
      </c>
      <c r="J825" s="231">
        <f t="shared" si="59"/>
        <v>2314.6</v>
      </c>
      <c r="K825" s="14">
        <f t="shared" si="60"/>
        <v>0</v>
      </c>
      <c r="L825" s="14">
        <f t="shared" si="61"/>
        <v>0</v>
      </c>
    </row>
    <row r="826" spans="2:12" ht="52.5" customHeight="1" outlineLevel="1" x14ac:dyDescent="0.2">
      <c r="B826" s="65" t="s">
        <v>852</v>
      </c>
      <c r="C826" s="315">
        <v>43435</v>
      </c>
      <c r="D826" s="314">
        <v>43524</v>
      </c>
      <c r="E826" s="357">
        <v>5</v>
      </c>
      <c r="F826" s="138">
        <v>2583.06</v>
      </c>
      <c r="G826" s="138"/>
      <c r="H826" s="241"/>
      <c r="I826" s="125">
        <f t="shared" si="58"/>
        <v>2583.06</v>
      </c>
      <c r="J826" s="231">
        <f t="shared" si="59"/>
        <v>2583.06</v>
      </c>
      <c r="K826" s="14">
        <f t="shared" si="60"/>
        <v>0</v>
      </c>
      <c r="L826" s="14">
        <f t="shared" si="61"/>
        <v>0</v>
      </c>
    </row>
    <row r="827" spans="2:12" ht="52.5" customHeight="1" outlineLevel="1" x14ac:dyDescent="0.2">
      <c r="B827" s="64" t="s">
        <v>386</v>
      </c>
      <c r="C827" s="315">
        <v>43282</v>
      </c>
      <c r="D827" s="314">
        <v>43524</v>
      </c>
      <c r="E827" s="357">
        <v>60</v>
      </c>
      <c r="F827" s="138">
        <v>7963.6</v>
      </c>
      <c r="G827" s="138">
        <v>217060</v>
      </c>
      <c r="H827" s="241"/>
      <c r="I827" s="125">
        <f t="shared" si="58"/>
        <v>225023.6</v>
      </c>
      <c r="J827" s="231">
        <f t="shared" si="59"/>
        <v>225023.6</v>
      </c>
      <c r="K827" s="14">
        <f t="shared" si="60"/>
        <v>0</v>
      </c>
      <c r="L827" s="14">
        <f t="shared" si="61"/>
        <v>0</v>
      </c>
    </row>
    <row r="828" spans="2:12" ht="58.5" customHeight="1" outlineLevel="1" x14ac:dyDescent="0.2">
      <c r="B828" s="64" t="s">
        <v>167</v>
      </c>
      <c r="C828" s="315">
        <v>42491</v>
      </c>
      <c r="D828" s="314">
        <v>43830</v>
      </c>
      <c r="E828" s="357">
        <v>5</v>
      </c>
      <c r="F828" s="138">
        <v>38601.620000000003</v>
      </c>
      <c r="G828" s="299"/>
      <c r="H828" s="241"/>
      <c r="I828" s="125">
        <f t="shared" si="58"/>
        <v>38601.620000000003</v>
      </c>
      <c r="J828" s="231">
        <f t="shared" si="59"/>
        <v>38601.620000000003</v>
      </c>
      <c r="K828" s="14">
        <f t="shared" si="60"/>
        <v>0</v>
      </c>
      <c r="L828" s="14">
        <f t="shared" si="61"/>
        <v>0</v>
      </c>
    </row>
    <row r="829" spans="2:12" ht="27" customHeight="1" outlineLevel="1" x14ac:dyDescent="0.2">
      <c r="B829" s="65" t="s">
        <v>853</v>
      </c>
      <c r="C829" s="315">
        <v>43435</v>
      </c>
      <c r="D829" s="314">
        <v>43677</v>
      </c>
      <c r="E829" s="357">
        <v>5</v>
      </c>
      <c r="F829" s="138">
        <v>2314.6</v>
      </c>
      <c r="G829" s="138"/>
      <c r="H829" s="241"/>
      <c r="I829" s="125">
        <f t="shared" si="58"/>
        <v>2314.6</v>
      </c>
      <c r="J829" s="231">
        <f t="shared" si="59"/>
        <v>2314.6</v>
      </c>
      <c r="K829" s="14">
        <f t="shared" si="60"/>
        <v>0</v>
      </c>
      <c r="L829" s="14">
        <f t="shared" si="61"/>
        <v>0</v>
      </c>
    </row>
    <row r="830" spans="2:12" ht="56.25" customHeight="1" outlineLevel="1" x14ac:dyDescent="0.2">
      <c r="B830" s="65" t="s">
        <v>854</v>
      </c>
      <c r="C830" s="315">
        <v>43405</v>
      </c>
      <c r="D830" s="314">
        <v>43555</v>
      </c>
      <c r="E830" s="357">
        <v>5</v>
      </c>
      <c r="F830" s="138">
        <v>1633.83</v>
      </c>
      <c r="G830" s="138">
        <v>1600</v>
      </c>
      <c r="H830" s="241"/>
      <c r="I830" s="125">
        <f t="shared" si="58"/>
        <v>3233.83</v>
      </c>
      <c r="J830" s="231">
        <f t="shared" si="59"/>
        <v>3233.83</v>
      </c>
      <c r="K830" s="14">
        <f t="shared" si="60"/>
        <v>0</v>
      </c>
      <c r="L830" s="14">
        <f t="shared" si="61"/>
        <v>0</v>
      </c>
    </row>
    <row r="831" spans="2:12" ht="27" customHeight="1" outlineLevel="1" x14ac:dyDescent="0.2">
      <c r="B831" s="64" t="s">
        <v>387</v>
      </c>
      <c r="C831" s="315">
        <v>43344</v>
      </c>
      <c r="D831" s="314">
        <v>43555</v>
      </c>
      <c r="E831" s="357">
        <v>5</v>
      </c>
      <c r="F831" s="138">
        <v>1633.83</v>
      </c>
      <c r="G831" s="138"/>
      <c r="H831" s="241"/>
      <c r="I831" s="125">
        <f t="shared" si="58"/>
        <v>1633.83</v>
      </c>
      <c r="J831" s="231">
        <f t="shared" si="59"/>
        <v>1633.83</v>
      </c>
      <c r="K831" s="14">
        <f t="shared" si="60"/>
        <v>0</v>
      </c>
      <c r="L831" s="14">
        <f t="shared" si="61"/>
        <v>0</v>
      </c>
    </row>
    <row r="832" spans="2:12" ht="27" customHeight="1" outlineLevel="1" x14ac:dyDescent="0.2">
      <c r="B832" s="65" t="s">
        <v>855</v>
      </c>
      <c r="C832" s="315">
        <v>43435</v>
      </c>
      <c r="D832" s="314">
        <v>43646</v>
      </c>
      <c r="E832" s="357">
        <v>5</v>
      </c>
      <c r="F832" s="138">
        <v>1633.83</v>
      </c>
      <c r="G832" s="138"/>
      <c r="H832" s="241"/>
      <c r="I832" s="125">
        <f t="shared" si="58"/>
        <v>1633.83</v>
      </c>
      <c r="J832" s="231">
        <f t="shared" si="59"/>
        <v>1633.83</v>
      </c>
      <c r="K832" s="14">
        <f t="shared" si="60"/>
        <v>0</v>
      </c>
      <c r="L832" s="14">
        <f t="shared" si="61"/>
        <v>0</v>
      </c>
    </row>
    <row r="833" spans="2:12" ht="27" customHeight="1" outlineLevel="1" x14ac:dyDescent="0.2">
      <c r="B833" s="65" t="s">
        <v>856</v>
      </c>
      <c r="C833" s="315">
        <v>43405</v>
      </c>
      <c r="D833" s="314">
        <v>43555</v>
      </c>
      <c r="E833" s="357">
        <v>5</v>
      </c>
      <c r="F833" s="138">
        <v>1633.83</v>
      </c>
      <c r="G833" s="138"/>
      <c r="H833" s="241"/>
      <c r="I833" s="125">
        <f t="shared" si="58"/>
        <v>1633.83</v>
      </c>
      <c r="J833" s="231">
        <f t="shared" si="59"/>
        <v>1633.83</v>
      </c>
      <c r="K833" s="14">
        <f t="shared" si="60"/>
        <v>0</v>
      </c>
      <c r="L833" s="14">
        <f t="shared" si="61"/>
        <v>0</v>
      </c>
    </row>
    <row r="834" spans="2:12" ht="27" customHeight="1" outlineLevel="1" x14ac:dyDescent="0.2">
      <c r="B834" s="65" t="s">
        <v>857</v>
      </c>
      <c r="C834" s="315">
        <v>43435</v>
      </c>
      <c r="D834" s="314">
        <v>43555</v>
      </c>
      <c r="E834" s="357">
        <v>5</v>
      </c>
      <c r="F834" s="138">
        <v>2645.25</v>
      </c>
      <c r="G834" s="138"/>
      <c r="H834" s="241"/>
      <c r="I834" s="125">
        <f t="shared" si="58"/>
        <v>2645.25</v>
      </c>
      <c r="J834" s="231">
        <f t="shared" si="59"/>
        <v>2645.25</v>
      </c>
      <c r="K834" s="14">
        <f t="shared" si="60"/>
        <v>0</v>
      </c>
      <c r="L834" s="14">
        <f t="shared" si="61"/>
        <v>0</v>
      </c>
    </row>
    <row r="835" spans="2:12" ht="48" customHeight="1" outlineLevel="1" x14ac:dyDescent="0.2">
      <c r="B835" s="64" t="s">
        <v>388</v>
      </c>
      <c r="C835" s="315">
        <v>43344</v>
      </c>
      <c r="D835" s="314">
        <v>43524</v>
      </c>
      <c r="E835" s="357">
        <v>5</v>
      </c>
      <c r="F835" s="138">
        <v>1851.67</v>
      </c>
      <c r="G835" s="138"/>
      <c r="H835" s="241"/>
      <c r="I835" s="125">
        <f t="shared" si="58"/>
        <v>1851.67</v>
      </c>
      <c r="J835" s="231">
        <f t="shared" si="59"/>
        <v>1851.67</v>
      </c>
      <c r="K835" s="14">
        <f t="shared" si="60"/>
        <v>0</v>
      </c>
      <c r="L835" s="14">
        <f t="shared" si="61"/>
        <v>0</v>
      </c>
    </row>
    <row r="836" spans="2:12" ht="48" customHeight="1" outlineLevel="1" x14ac:dyDescent="0.2">
      <c r="B836" s="65" t="s">
        <v>858</v>
      </c>
      <c r="C836" s="315">
        <v>43374</v>
      </c>
      <c r="D836" s="314">
        <v>43524</v>
      </c>
      <c r="E836" s="357">
        <v>5</v>
      </c>
      <c r="F836" s="138">
        <v>1851.67</v>
      </c>
      <c r="G836" s="138"/>
      <c r="H836" s="241"/>
      <c r="I836" s="125">
        <f t="shared" si="58"/>
        <v>1851.67</v>
      </c>
      <c r="J836" s="231">
        <f t="shared" si="59"/>
        <v>1851.67</v>
      </c>
      <c r="K836" s="14">
        <f t="shared" si="60"/>
        <v>0</v>
      </c>
      <c r="L836" s="14">
        <f t="shared" si="61"/>
        <v>0</v>
      </c>
    </row>
    <row r="837" spans="2:12" ht="48" customHeight="1" outlineLevel="1" x14ac:dyDescent="0.2">
      <c r="B837" s="64" t="s">
        <v>123</v>
      </c>
      <c r="C837" s="315">
        <v>43070</v>
      </c>
      <c r="D837" s="314">
        <v>43524</v>
      </c>
      <c r="E837" s="357">
        <v>15</v>
      </c>
      <c r="F837" s="138">
        <v>6881.45</v>
      </c>
      <c r="G837" s="138">
        <v>27875.23</v>
      </c>
      <c r="H837" s="241"/>
      <c r="I837" s="125">
        <f t="shared" si="58"/>
        <v>34756.68</v>
      </c>
      <c r="J837" s="231">
        <f t="shared" si="59"/>
        <v>34756.68</v>
      </c>
      <c r="K837" s="14">
        <f t="shared" si="60"/>
        <v>0</v>
      </c>
      <c r="L837" s="14">
        <f t="shared" si="61"/>
        <v>0</v>
      </c>
    </row>
    <row r="838" spans="2:12" ht="48" customHeight="1" outlineLevel="1" x14ac:dyDescent="0.2">
      <c r="B838" s="64" t="s">
        <v>47</v>
      </c>
      <c r="C838" s="315">
        <v>42826</v>
      </c>
      <c r="D838" s="314">
        <v>43524</v>
      </c>
      <c r="E838" s="357">
        <v>10</v>
      </c>
      <c r="F838" s="138">
        <v>8316.27</v>
      </c>
      <c r="G838" s="299">
        <v>1600</v>
      </c>
      <c r="H838" s="241"/>
      <c r="I838" s="125">
        <f t="shared" si="58"/>
        <v>9916.27</v>
      </c>
      <c r="J838" s="231">
        <f t="shared" si="59"/>
        <v>9916.27</v>
      </c>
      <c r="K838" s="14">
        <f t="shared" si="60"/>
        <v>0</v>
      </c>
      <c r="L838" s="14">
        <f t="shared" si="61"/>
        <v>0</v>
      </c>
    </row>
    <row r="839" spans="2:12" ht="48" customHeight="1" outlineLevel="1" x14ac:dyDescent="0.2">
      <c r="B839" s="64" t="s">
        <v>389</v>
      </c>
      <c r="C839" s="315">
        <v>43313</v>
      </c>
      <c r="D839" s="314">
        <v>43646</v>
      </c>
      <c r="E839" s="357">
        <v>5</v>
      </c>
      <c r="F839" s="138">
        <v>6238.25</v>
      </c>
      <c r="G839" s="138"/>
      <c r="H839" s="241"/>
      <c r="I839" s="125">
        <f t="shared" si="58"/>
        <v>6238.25</v>
      </c>
      <c r="J839" s="231">
        <f t="shared" si="59"/>
        <v>6238.25</v>
      </c>
      <c r="K839" s="14">
        <f t="shared" si="60"/>
        <v>0</v>
      </c>
      <c r="L839" s="14">
        <f t="shared" si="61"/>
        <v>0</v>
      </c>
    </row>
    <row r="840" spans="2:12" ht="33" customHeight="1" outlineLevel="1" x14ac:dyDescent="0.2">
      <c r="B840" s="65" t="s">
        <v>859</v>
      </c>
      <c r="C840" s="315">
        <v>43435</v>
      </c>
      <c r="D840" s="314">
        <v>43646</v>
      </c>
      <c r="E840" s="357">
        <v>5</v>
      </c>
      <c r="F840" s="138">
        <v>1851.68</v>
      </c>
      <c r="G840" s="138"/>
      <c r="H840" s="241"/>
      <c r="I840" s="125">
        <f t="shared" si="58"/>
        <v>1851.68</v>
      </c>
      <c r="J840" s="231">
        <f t="shared" si="59"/>
        <v>1851.68</v>
      </c>
      <c r="K840" s="14">
        <f t="shared" si="60"/>
        <v>0</v>
      </c>
      <c r="L840" s="14">
        <f t="shared" si="61"/>
        <v>0</v>
      </c>
    </row>
    <row r="841" spans="2:12" ht="24" outlineLevel="1" x14ac:dyDescent="0.2">
      <c r="B841" s="65" t="s">
        <v>860</v>
      </c>
      <c r="C841" s="315">
        <v>43435</v>
      </c>
      <c r="D841" s="314">
        <v>43677</v>
      </c>
      <c r="E841" s="357">
        <v>5</v>
      </c>
      <c r="F841" s="138">
        <v>3901.74</v>
      </c>
      <c r="G841" s="138"/>
      <c r="H841" s="241"/>
      <c r="I841" s="125">
        <f t="shared" si="58"/>
        <v>3901.74</v>
      </c>
      <c r="J841" s="231">
        <f t="shared" si="59"/>
        <v>3901.74</v>
      </c>
      <c r="K841" s="14">
        <f t="shared" si="60"/>
        <v>0</v>
      </c>
      <c r="L841" s="14">
        <f t="shared" si="61"/>
        <v>0</v>
      </c>
    </row>
    <row r="842" spans="2:12" ht="24" outlineLevel="1" x14ac:dyDescent="0.2">
      <c r="B842" s="64" t="s">
        <v>288</v>
      </c>
      <c r="C842" s="315">
        <v>43221</v>
      </c>
      <c r="D842" s="314">
        <v>43769</v>
      </c>
      <c r="E842" s="357">
        <v>5</v>
      </c>
      <c r="F842" s="138">
        <v>2645.26</v>
      </c>
      <c r="G842" s="138"/>
      <c r="H842" s="241"/>
      <c r="I842" s="125">
        <f t="shared" si="58"/>
        <v>2645.26</v>
      </c>
      <c r="J842" s="231">
        <f t="shared" si="59"/>
        <v>2645.26</v>
      </c>
      <c r="K842" s="14">
        <f t="shared" si="60"/>
        <v>0</v>
      </c>
      <c r="L842" s="14">
        <f t="shared" si="61"/>
        <v>0</v>
      </c>
    </row>
    <row r="843" spans="2:12" ht="24" outlineLevel="1" x14ac:dyDescent="0.2">
      <c r="B843" s="65" t="s">
        <v>861</v>
      </c>
      <c r="C843" s="315">
        <v>43435</v>
      </c>
      <c r="D843" s="314">
        <v>43646</v>
      </c>
      <c r="E843" s="357">
        <v>5</v>
      </c>
      <c r="F843" s="138">
        <v>5857.34</v>
      </c>
      <c r="G843" s="138"/>
      <c r="H843" s="241"/>
      <c r="I843" s="125">
        <f t="shared" si="58"/>
        <v>5857.34</v>
      </c>
      <c r="J843" s="231">
        <f t="shared" si="59"/>
        <v>5857.34</v>
      </c>
      <c r="K843" s="14">
        <f t="shared" si="60"/>
        <v>0</v>
      </c>
      <c r="L843" s="14">
        <f t="shared" si="61"/>
        <v>0</v>
      </c>
    </row>
    <row r="844" spans="2:12" ht="24" outlineLevel="1" x14ac:dyDescent="0.2">
      <c r="B844" s="65" t="s">
        <v>862</v>
      </c>
      <c r="C844" s="315">
        <v>43405</v>
      </c>
      <c r="D844" s="314">
        <v>43524</v>
      </c>
      <c r="E844" s="357">
        <v>5</v>
      </c>
      <c r="F844" s="138">
        <v>1851.67</v>
      </c>
      <c r="G844" s="138"/>
      <c r="H844" s="241"/>
      <c r="I844" s="125">
        <f t="shared" si="58"/>
        <v>1851.67</v>
      </c>
      <c r="J844" s="231">
        <f t="shared" si="59"/>
        <v>1851.67</v>
      </c>
      <c r="K844" s="14">
        <f t="shared" si="60"/>
        <v>0</v>
      </c>
      <c r="L844" s="14">
        <f t="shared" si="61"/>
        <v>0</v>
      </c>
    </row>
    <row r="845" spans="2:12" ht="24" outlineLevel="1" x14ac:dyDescent="0.2">
      <c r="B845" s="64" t="s">
        <v>48</v>
      </c>
      <c r="C845" s="315">
        <v>42948</v>
      </c>
      <c r="D845" s="314">
        <v>43555</v>
      </c>
      <c r="E845" s="357">
        <v>15</v>
      </c>
      <c r="F845" s="138">
        <v>9025.4699999999993</v>
      </c>
      <c r="G845" s="300">
        <v>45000</v>
      </c>
      <c r="H845" s="241"/>
      <c r="I845" s="125">
        <f t="shared" si="58"/>
        <v>54025.47</v>
      </c>
      <c r="J845" s="231">
        <f t="shared" si="59"/>
        <v>54025.47</v>
      </c>
      <c r="K845" s="14">
        <f t="shared" si="60"/>
        <v>0</v>
      </c>
      <c r="L845" s="14">
        <f t="shared" si="61"/>
        <v>0</v>
      </c>
    </row>
    <row r="846" spans="2:12" ht="24" outlineLevel="1" x14ac:dyDescent="0.2">
      <c r="B846" s="64" t="s">
        <v>155</v>
      </c>
      <c r="C846" s="315">
        <v>43101</v>
      </c>
      <c r="D846" s="314">
        <v>43799</v>
      </c>
      <c r="E846" s="357">
        <v>15</v>
      </c>
      <c r="F846" s="138">
        <v>4265.47</v>
      </c>
      <c r="G846" s="138">
        <v>14500</v>
      </c>
      <c r="H846" s="241"/>
      <c r="I846" s="125">
        <f t="shared" si="58"/>
        <v>18765.47</v>
      </c>
      <c r="J846" s="231">
        <f t="shared" si="59"/>
        <v>18765.47</v>
      </c>
      <c r="K846" s="14">
        <f t="shared" si="60"/>
        <v>0</v>
      </c>
      <c r="L846" s="14">
        <f t="shared" si="61"/>
        <v>0</v>
      </c>
    </row>
    <row r="847" spans="2:12" ht="24" outlineLevel="1" x14ac:dyDescent="0.2">
      <c r="B847" s="64" t="s">
        <v>49</v>
      </c>
      <c r="C847" s="315">
        <v>42705</v>
      </c>
      <c r="D847" s="314">
        <v>43524</v>
      </c>
      <c r="E847" s="357">
        <v>15</v>
      </c>
      <c r="F847" s="138">
        <v>9401.24</v>
      </c>
      <c r="G847" s="300">
        <v>22400</v>
      </c>
      <c r="H847" s="241"/>
      <c r="I847" s="125">
        <f t="shared" si="58"/>
        <v>31801.239999999998</v>
      </c>
      <c r="J847" s="231">
        <f t="shared" si="59"/>
        <v>31801.239999999998</v>
      </c>
      <c r="K847" s="14">
        <f t="shared" si="60"/>
        <v>0</v>
      </c>
      <c r="L847" s="14">
        <f t="shared" si="61"/>
        <v>0</v>
      </c>
    </row>
    <row r="848" spans="2:12" ht="36" outlineLevel="1" x14ac:dyDescent="0.2">
      <c r="B848" s="64" t="s">
        <v>50</v>
      </c>
      <c r="C848" s="315">
        <v>42979</v>
      </c>
      <c r="D848" s="314">
        <v>43646</v>
      </c>
      <c r="E848" s="357">
        <v>5</v>
      </c>
      <c r="F848" s="138">
        <v>2107.34</v>
      </c>
      <c r="G848" s="299"/>
      <c r="H848" s="241"/>
      <c r="I848" s="125">
        <f t="shared" ref="I848:I879" si="62">F848+G848+H848</f>
        <v>2107.34</v>
      </c>
      <c r="J848" s="231">
        <f t="shared" ref="J848:J879" si="63">I848</f>
        <v>2107.34</v>
      </c>
      <c r="K848" s="14">
        <f t="shared" ref="K848:K879" si="64">I848-J848</f>
        <v>0</v>
      </c>
      <c r="L848" s="14">
        <f t="shared" ref="L848:L879" si="65">I848-J848</f>
        <v>0</v>
      </c>
    </row>
    <row r="849" spans="2:12" ht="24" outlineLevel="1" x14ac:dyDescent="0.2">
      <c r="B849" s="64" t="s">
        <v>51</v>
      </c>
      <c r="C849" s="315">
        <v>42795</v>
      </c>
      <c r="D849" s="314">
        <v>43830</v>
      </c>
      <c r="E849" s="357">
        <v>50</v>
      </c>
      <c r="F849" s="138">
        <v>8265.42</v>
      </c>
      <c r="G849" s="300">
        <v>85799.99</v>
      </c>
      <c r="H849" s="241"/>
      <c r="I849" s="125">
        <f t="shared" si="62"/>
        <v>94065.41</v>
      </c>
      <c r="J849" s="231">
        <f t="shared" si="63"/>
        <v>94065.41</v>
      </c>
      <c r="K849" s="14">
        <f t="shared" si="64"/>
        <v>0</v>
      </c>
      <c r="L849" s="14">
        <f t="shared" si="65"/>
        <v>0</v>
      </c>
    </row>
    <row r="850" spans="2:12" ht="24" outlineLevel="1" x14ac:dyDescent="0.2">
      <c r="B850" s="65" t="s">
        <v>863</v>
      </c>
      <c r="C850" s="315">
        <v>43435</v>
      </c>
      <c r="D850" s="314">
        <v>43677</v>
      </c>
      <c r="E850" s="357">
        <v>5</v>
      </c>
      <c r="F850" s="138">
        <v>2645.25</v>
      </c>
      <c r="G850" s="138"/>
      <c r="H850" s="241"/>
      <c r="I850" s="125">
        <f t="shared" si="62"/>
        <v>2645.25</v>
      </c>
      <c r="J850" s="231">
        <f t="shared" si="63"/>
        <v>2645.25</v>
      </c>
      <c r="K850" s="14">
        <f t="shared" si="64"/>
        <v>0</v>
      </c>
      <c r="L850" s="14">
        <f t="shared" si="65"/>
        <v>0</v>
      </c>
    </row>
    <row r="851" spans="2:12" ht="24" outlineLevel="1" x14ac:dyDescent="0.2">
      <c r="B851" s="64" t="s">
        <v>124</v>
      </c>
      <c r="C851" s="315">
        <v>43040</v>
      </c>
      <c r="D851" s="314">
        <v>43830</v>
      </c>
      <c r="E851" s="357">
        <v>5</v>
      </c>
      <c r="F851" s="138">
        <v>5413.64</v>
      </c>
      <c r="G851" s="138"/>
      <c r="H851" s="241"/>
      <c r="I851" s="125">
        <f t="shared" si="62"/>
        <v>5413.64</v>
      </c>
      <c r="J851" s="231">
        <f t="shared" si="63"/>
        <v>5413.64</v>
      </c>
      <c r="K851" s="14">
        <f t="shared" si="64"/>
        <v>0</v>
      </c>
      <c r="L851" s="14">
        <f t="shared" si="65"/>
        <v>0</v>
      </c>
    </row>
    <row r="852" spans="2:12" ht="24" outlineLevel="1" x14ac:dyDescent="0.2">
      <c r="B852" s="65" t="s">
        <v>864</v>
      </c>
      <c r="C852" s="315">
        <v>43405</v>
      </c>
      <c r="D852" s="314">
        <v>43738</v>
      </c>
      <c r="E852" s="357">
        <v>5</v>
      </c>
      <c r="F852" s="138">
        <v>2314.6</v>
      </c>
      <c r="G852" s="138"/>
      <c r="H852" s="241"/>
      <c r="I852" s="125">
        <f t="shared" si="62"/>
        <v>2314.6</v>
      </c>
      <c r="J852" s="231">
        <f t="shared" si="63"/>
        <v>2314.6</v>
      </c>
      <c r="K852" s="14">
        <f t="shared" si="64"/>
        <v>0</v>
      </c>
      <c r="L852" s="14">
        <f t="shared" si="65"/>
        <v>0</v>
      </c>
    </row>
    <row r="853" spans="2:12" ht="24" outlineLevel="1" x14ac:dyDescent="0.2">
      <c r="B853" s="65" t="s">
        <v>865</v>
      </c>
      <c r="C853" s="315">
        <v>43435</v>
      </c>
      <c r="D853" s="314">
        <v>43585</v>
      </c>
      <c r="E853" s="357">
        <v>5</v>
      </c>
      <c r="F853" s="138">
        <v>1523.59</v>
      </c>
      <c r="G853" s="138"/>
      <c r="H853" s="241"/>
      <c r="I853" s="125">
        <f t="shared" si="62"/>
        <v>1523.59</v>
      </c>
      <c r="J853" s="231">
        <f t="shared" si="63"/>
        <v>1523.59</v>
      </c>
      <c r="K853" s="14">
        <f t="shared" si="64"/>
        <v>0</v>
      </c>
      <c r="L853" s="14">
        <f t="shared" si="65"/>
        <v>0</v>
      </c>
    </row>
    <row r="854" spans="2:12" ht="24" outlineLevel="1" x14ac:dyDescent="0.2">
      <c r="B854" s="65" t="s">
        <v>866</v>
      </c>
      <c r="C854" s="315">
        <v>43374</v>
      </c>
      <c r="D854" s="314">
        <v>43738</v>
      </c>
      <c r="E854" s="357">
        <v>5</v>
      </c>
      <c r="F854" s="138">
        <v>1523.58</v>
      </c>
      <c r="G854" s="138"/>
      <c r="H854" s="241"/>
      <c r="I854" s="125">
        <f t="shared" si="62"/>
        <v>1523.58</v>
      </c>
      <c r="J854" s="231">
        <f t="shared" si="63"/>
        <v>1523.58</v>
      </c>
      <c r="K854" s="14">
        <f t="shared" si="64"/>
        <v>0</v>
      </c>
      <c r="L854" s="14">
        <f t="shared" si="65"/>
        <v>0</v>
      </c>
    </row>
    <row r="855" spans="2:12" outlineLevel="1" x14ac:dyDescent="0.2">
      <c r="B855" s="64" t="s">
        <v>289</v>
      </c>
      <c r="C855" s="315">
        <v>43191</v>
      </c>
      <c r="D855" s="314">
        <v>43738</v>
      </c>
      <c r="E855" s="357">
        <v>5</v>
      </c>
      <c r="F855" s="138">
        <v>1361.67</v>
      </c>
      <c r="G855" s="138"/>
      <c r="H855" s="241"/>
      <c r="I855" s="125">
        <f t="shared" si="62"/>
        <v>1361.67</v>
      </c>
      <c r="J855" s="231">
        <f t="shared" si="63"/>
        <v>1361.67</v>
      </c>
      <c r="K855" s="14">
        <f t="shared" si="64"/>
        <v>0</v>
      </c>
      <c r="L855" s="14">
        <f t="shared" si="65"/>
        <v>0</v>
      </c>
    </row>
    <row r="856" spans="2:12" outlineLevel="1" x14ac:dyDescent="0.2">
      <c r="B856" s="64" t="s">
        <v>390</v>
      </c>
      <c r="C856" s="315">
        <v>43313</v>
      </c>
      <c r="D856" s="314">
        <v>43585</v>
      </c>
      <c r="E856" s="357">
        <v>5</v>
      </c>
      <c r="F856" s="138">
        <v>5557.49</v>
      </c>
      <c r="G856" s="138"/>
      <c r="H856" s="241"/>
      <c r="I856" s="125">
        <f t="shared" si="62"/>
        <v>5557.49</v>
      </c>
      <c r="J856" s="231">
        <f t="shared" si="63"/>
        <v>5557.49</v>
      </c>
      <c r="K856" s="14">
        <f t="shared" si="64"/>
        <v>0</v>
      </c>
      <c r="L856" s="14">
        <f t="shared" si="65"/>
        <v>0</v>
      </c>
    </row>
    <row r="857" spans="2:12" ht="24" outlineLevel="1" x14ac:dyDescent="0.2">
      <c r="B857" s="64" t="s">
        <v>391</v>
      </c>
      <c r="C857" s="315">
        <v>43344</v>
      </c>
      <c r="D857" s="314">
        <v>43524</v>
      </c>
      <c r="E857" s="357">
        <v>5</v>
      </c>
      <c r="F857" s="138">
        <v>1851.67</v>
      </c>
      <c r="G857" s="138"/>
      <c r="H857" s="241"/>
      <c r="I857" s="125">
        <f t="shared" si="62"/>
        <v>1851.67</v>
      </c>
      <c r="J857" s="231">
        <f t="shared" si="63"/>
        <v>1851.67</v>
      </c>
      <c r="K857" s="14">
        <f t="shared" si="64"/>
        <v>0</v>
      </c>
      <c r="L857" s="14">
        <f t="shared" si="65"/>
        <v>0</v>
      </c>
    </row>
    <row r="858" spans="2:12" ht="24" outlineLevel="1" x14ac:dyDescent="0.2">
      <c r="B858" s="65" t="s">
        <v>867</v>
      </c>
      <c r="C858" s="315">
        <v>43374</v>
      </c>
      <c r="D858" s="314">
        <v>43524</v>
      </c>
      <c r="E858" s="357">
        <v>5</v>
      </c>
      <c r="F858" s="138">
        <v>1851.67</v>
      </c>
      <c r="G858" s="138"/>
      <c r="H858" s="241"/>
      <c r="I858" s="125">
        <f t="shared" si="62"/>
        <v>1851.67</v>
      </c>
      <c r="J858" s="231">
        <f t="shared" si="63"/>
        <v>1851.67</v>
      </c>
      <c r="K858" s="14">
        <f t="shared" si="64"/>
        <v>0</v>
      </c>
      <c r="L858" s="14">
        <f t="shared" si="65"/>
        <v>0</v>
      </c>
    </row>
    <row r="859" spans="2:12" ht="24" outlineLevel="1" x14ac:dyDescent="0.2">
      <c r="B859" s="64" t="s">
        <v>290</v>
      </c>
      <c r="C859" s="315">
        <v>43191</v>
      </c>
      <c r="D859" s="314">
        <v>43830</v>
      </c>
      <c r="E859" s="357">
        <v>5</v>
      </c>
      <c r="F859" s="138">
        <v>2730.29</v>
      </c>
      <c r="G859" s="138"/>
      <c r="H859" s="241"/>
      <c r="I859" s="125">
        <f t="shared" si="62"/>
        <v>2730.29</v>
      </c>
      <c r="J859" s="231">
        <f t="shared" si="63"/>
        <v>2730.29</v>
      </c>
      <c r="K859" s="14">
        <f t="shared" si="64"/>
        <v>0</v>
      </c>
      <c r="L859" s="14">
        <f t="shared" si="65"/>
        <v>0</v>
      </c>
    </row>
    <row r="860" spans="2:12" ht="24" outlineLevel="1" x14ac:dyDescent="0.2">
      <c r="B860" s="64" t="s">
        <v>392</v>
      </c>
      <c r="C860" s="315">
        <v>43344</v>
      </c>
      <c r="D860" s="314">
        <v>43830</v>
      </c>
      <c r="E860" s="357">
        <v>5</v>
      </c>
      <c r="F860" s="138">
        <v>2314.6</v>
      </c>
      <c r="G860" s="138"/>
      <c r="H860" s="241"/>
      <c r="I860" s="125">
        <f t="shared" si="62"/>
        <v>2314.6</v>
      </c>
      <c r="J860" s="231">
        <f t="shared" si="63"/>
        <v>2314.6</v>
      </c>
      <c r="K860" s="14">
        <f t="shared" si="64"/>
        <v>0</v>
      </c>
      <c r="L860" s="14">
        <f t="shared" si="65"/>
        <v>0</v>
      </c>
    </row>
    <row r="861" spans="2:12" outlineLevel="1" x14ac:dyDescent="0.2">
      <c r="B861" s="64" t="s">
        <v>291</v>
      </c>
      <c r="C861" s="315">
        <v>43221</v>
      </c>
      <c r="D861" s="314">
        <v>43677</v>
      </c>
      <c r="E861" s="357">
        <v>15</v>
      </c>
      <c r="F861" s="138">
        <v>6238.25</v>
      </c>
      <c r="G861" s="138">
        <v>14447</v>
      </c>
      <c r="H861" s="241"/>
      <c r="I861" s="125">
        <f t="shared" si="62"/>
        <v>20685.25</v>
      </c>
      <c r="J861" s="231">
        <f t="shared" si="63"/>
        <v>20685.25</v>
      </c>
      <c r="K861" s="14">
        <f t="shared" si="64"/>
        <v>0</v>
      </c>
      <c r="L861" s="14">
        <f t="shared" si="65"/>
        <v>0</v>
      </c>
    </row>
    <row r="862" spans="2:12" ht="24" outlineLevel="1" x14ac:dyDescent="0.2">
      <c r="B862" s="64" t="s">
        <v>125</v>
      </c>
      <c r="C862" s="315">
        <v>43009</v>
      </c>
      <c r="D862" s="314">
        <v>43555</v>
      </c>
      <c r="E862" s="357">
        <v>15</v>
      </c>
      <c r="F862" s="138">
        <v>6130</v>
      </c>
      <c r="G862" s="138">
        <v>12500</v>
      </c>
      <c r="H862" s="241"/>
      <c r="I862" s="125">
        <f t="shared" si="62"/>
        <v>18630</v>
      </c>
      <c r="J862" s="231">
        <f t="shared" si="63"/>
        <v>18630</v>
      </c>
      <c r="K862" s="14">
        <f t="shared" si="64"/>
        <v>0</v>
      </c>
      <c r="L862" s="14">
        <f t="shared" si="65"/>
        <v>0</v>
      </c>
    </row>
    <row r="863" spans="2:12" ht="24" outlineLevel="1" x14ac:dyDescent="0.2">
      <c r="B863" s="65" t="s">
        <v>868</v>
      </c>
      <c r="C863" s="315">
        <v>43435</v>
      </c>
      <c r="D863" s="314">
        <v>43555</v>
      </c>
      <c r="E863" s="357">
        <v>5</v>
      </c>
      <c r="F863" s="138">
        <v>1633.83</v>
      </c>
      <c r="G863" s="138"/>
      <c r="H863" s="241"/>
      <c r="I863" s="125">
        <f t="shared" si="62"/>
        <v>1633.83</v>
      </c>
      <c r="J863" s="231">
        <f t="shared" si="63"/>
        <v>1633.83</v>
      </c>
      <c r="K863" s="14">
        <f t="shared" si="64"/>
        <v>0</v>
      </c>
      <c r="L863" s="14">
        <f t="shared" si="65"/>
        <v>0</v>
      </c>
    </row>
    <row r="864" spans="2:12" outlineLevel="1" x14ac:dyDescent="0.2">
      <c r="B864" s="64" t="s">
        <v>393</v>
      </c>
      <c r="C864" s="315">
        <v>43313</v>
      </c>
      <c r="D864" s="314">
        <v>43555</v>
      </c>
      <c r="E864" s="357">
        <v>5</v>
      </c>
      <c r="F864" s="138">
        <v>3923.65</v>
      </c>
      <c r="G864" s="138"/>
      <c r="H864" s="241"/>
      <c r="I864" s="125">
        <f t="shared" si="62"/>
        <v>3923.65</v>
      </c>
      <c r="J864" s="231">
        <f t="shared" si="63"/>
        <v>3923.65</v>
      </c>
      <c r="K864" s="14">
        <f t="shared" si="64"/>
        <v>0</v>
      </c>
      <c r="L864" s="14">
        <f t="shared" si="65"/>
        <v>0</v>
      </c>
    </row>
    <row r="865" spans="2:12" ht="24" outlineLevel="1" x14ac:dyDescent="0.2">
      <c r="B865" s="64" t="s">
        <v>292</v>
      </c>
      <c r="C865" s="315">
        <v>43221</v>
      </c>
      <c r="D865" s="314">
        <v>43830</v>
      </c>
      <c r="E865" s="357">
        <v>5</v>
      </c>
      <c r="F865" s="138">
        <v>2066.44</v>
      </c>
      <c r="G865" s="138"/>
      <c r="H865" s="241"/>
      <c r="I865" s="125">
        <f t="shared" si="62"/>
        <v>2066.44</v>
      </c>
      <c r="J865" s="231">
        <f t="shared" si="63"/>
        <v>2066.44</v>
      </c>
      <c r="K865" s="14">
        <f t="shared" si="64"/>
        <v>0</v>
      </c>
      <c r="L865" s="14">
        <f t="shared" si="65"/>
        <v>0</v>
      </c>
    </row>
    <row r="866" spans="2:12" ht="24" outlineLevel="1" x14ac:dyDescent="0.2">
      <c r="B866" s="65" t="s">
        <v>869</v>
      </c>
      <c r="C866" s="315">
        <v>43374</v>
      </c>
      <c r="D866" s="314">
        <v>43524</v>
      </c>
      <c r="E866" s="357">
        <v>5</v>
      </c>
      <c r="F866" s="138">
        <v>2314.6</v>
      </c>
      <c r="G866" s="138"/>
      <c r="H866" s="241"/>
      <c r="I866" s="125">
        <f t="shared" si="62"/>
        <v>2314.6</v>
      </c>
      <c r="J866" s="231">
        <f t="shared" si="63"/>
        <v>2314.6</v>
      </c>
      <c r="K866" s="14">
        <f t="shared" si="64"/>
        <v>0</v>
      </c>
      <c r="L866" s="14">
        <f t="shared" si="65"/>
        <v>0</v>
      </c>
    </row>
    <row r="867" spans="2:12" ht="24" outlineLevel="1" x14ac:dyDescent="0.2">
      <c r="B867" s="64" t="s">
        <v>293</v>
      </c>
      <c r="C867" s="315">
        <v>43252</v>
      </c>
      <c r="D867" s="314">
        <v>43646</v>
      </c>
      <c r="E867" s="357">
        <v>5</v>
      </c>
      <c r="F867" s="138">
        <v>1633.83</v>
      </c>
      <c r="G867" s="138"/>
      <c r="H867" s="241"/>
      <c r="I867" s="125">
        <f t="shared" si="62"/>
        <v>1633.83</v>
      </c>
      <c r="J867" s="231">
        <f t="shared" si="63"/>
        <v>1633.83</v>
      </c>
      <c r="K867" s="14">
        <f t="shared" si="64"/>
        <v>0</v>
      </c>
      <c r="L867" s="14">
        <f t="shared" si="65"/>
        <v>0</v>
      </c>
    </row>
    <row r="868" spans="2:12" ht="24" outlineLevel="1" x14ac:dyDescent="0.2">
      <c r="B868" s="64" t="s">
        <v>394</v>
      </c>
      <c r="C868" s="315">
        <v>43313</v>
      </c>
      <c r="D868" s="314">
        <v>43585</v>
      </c>
      <c r="E868" s="357">
        <v>10</v>
      </c>
      <c r="F868" s="138">
        <v>6238.25</v>
      </c>
      <c r="G868" s="138">
        <v>1600</v>
      </c>
      <c r="H868" s="241"/>
      <c r="I868" s="125">
        <f t="shared" si="62"/>
        <v>7838.25</v>
      </c>
      <c r="J868" s="231">
        <f t="shared" si="63"/>
        <v>7838.25</v>
      </c>
      <c r="K868" s="14">
        <f t="shared" si="64"/>
        <v>0</v>
      </c>
      <c r="L868" s="14">
        <f t="shared" si="65"/>
        <v>0</v>
      </c>
    </row>
    <row r="869" spans="2:12" ht="24" outlineLevel="1" x14ac:dyDescent="0.2">
      <c r="B869" s="64" t="s">
        <v>294</v>
      </c>
      <c r="C869" s="315">
        <v>43221</v>
      </c>
      <c r="D869" s="314">
        <v>43646</v>
      </c>
      <c r="E869" s="357">
        <v>15</v>
      </c>
      <c r="F869" s="138">
        <v>3462.38</v>
      </c>
      <c r="G869" s="138">
        <v>15326</v>
      </c>
      <c r="H869" s="241"/>
      <c r="I869" s="125">
        <f t="shared" si="62"/>
        <v>18788.38</v>
      </c>
      <c r="J869" s="231">
        <f t="shared" si="63"/>
        <v>18788.38</v>
      </c>
      <c r="K869" s="14">
        <f t="shared" si="64"/>
        <v>0</v>
      </c>
      <c r="L869" s="14">
        <f t="shared" si="65"/>
        <v>0</v>
      </c>
    </row>
    <row r="870" spans="2:12" ht="24" outlineLevel="1" x14ac:dyDescent="0.2">
      <c r="B870" s="65" t="s">
        <v>870</v>
      </c>
      <c r="C870" s="315">
        <v>43435</v>
      </c>
      <c r="D870" s="314">
        <v>43738</v>
      </c>
      <c r="E870" s="357">
        <v>5</v>
      </c>
      <c r="F870" s="138">
        <v>1983.94</v>
      </c>
      <c r="G870" s="138"/>
      <c r="H870" s="241"/>
      <c r="I870" s="125">
        <f t="shared" si="62"/>
        <v>1983.94</v>
      </c>
      <c r="J870" s="231">
        <f t="shared" si="63"/>
        <v>1983.94</v>
      </c>
      <c r="K870" s="14">
        <f t="shared" si="64"/>
        <v>0</v>
      </c>
      <c r="L870" s="14">
        <f t="shared" si="65"/>
        <v>0</v>
      </c>
    </row>
    <row r="871" spans="2:12" ht="24" outlineLevel="1" x14ac:dyDescent="0.2">
      <c r="B871" s="65" t="s">
        <v>871</v>
      </c>
      <c r="C871" s="315">
        <v>43435</v>
      </c>
      <c r="D871" s="314">
        <v>43708</v>
      </c>
      <c r="E871" s="357">
        <v>5</v>
      </c>
      <c r="F871" s="138">
        <v>2314.6</v>
      </c>
      <c r="G871" s="138"/>
      <c r="H871" s="241"/>
      <c r="I871" s="125">
        <f t="shared" si="62"/>
        <v>2314.6</v>
      </c>
      <c r="J871" s="231">
        <f t="shared" si="63"/>
        <v>2314.6</v>
      </c>
      <c r="K871" s="14">
        <f t="shared" si="64"/>
        <v>0</v>
      </c>
      <c r="L871" s="14">
        <f t="shared" si="65"/>
        <v>0</v>
      </c>
    </row>
    <row r="872" spans="2:12" ht="24" outlineLevel="1" x14ac:dyDescent="0.2">
      <c r="B872" s="64" t="s">
        <v>395</v>
      </c>
      <c r="C872" s="315">
        <v>43344</v>
      </c>
      <c r="D872" s="314">
        <v>43524</v>
      </c>
      <c r="E872" s="357">
        <v>10</v>
      </c>
      <c r="F872" s="138">
        <v>1633.83</v>
      </c>
      <c r="G872" s="138">
        <v>1600</v>
      </c>
      <c r="H872" s="241"/>
      <c r="I872" s="125">
        <f t="shared" si="62"/>
        <v>3233.83</v>
      </c>
      <c r="J872" s="231">
        <f t="shared" si="63"/>
        <v>3233.83</v>
      </c>
      <c r="K872" s="14">
        <f t="shared" si="64"/>
        <v>0</v>
      </c>
      <c r="L872" s="14">
        <f t="shared" si="65"/>
        <v>0</v>
      </c>
    </row>
    <row r="873" spans="2:12" ht="24" outlineLevel="1" x14ac:dyDescent="0.2">
      <c r="B873" s="65" t="s">
        <v>872</v>
      </c>
      <c r="C873" s="315">
        <v>43435</v>
      </c>
      <c r="D873" s="314">
        <v>43646</v>
      </c>
      <c r="E873" s="357">
        <v>5</v>
      </c>
      <c r="F873" s="138">
        <v>1388.75</v>
      </c>
      <c r="G873" s="138"/>
      <c r="H873" s="241"/>
      <c r="I873" s="125">
        <f t="shared" si="62"/>
        <v>1388.75</v>
      </c>
      <c r="J873" s="231">
        <f t="shared" si="63"/>
        <v>1388.75</v>
      </c>
      <c r="K873" s="14">
        <f t="shared" si="64"/>
        <v>0</v>
      </c>
      <c r="L873" s="14">
        <f t="shared" si="65"/>
        <v>0</v>
      </c>
    </row>
    <row r="874" spans="2:12" ht="24" outlineLevel="1" x14ac:dyDescent="0.2">
      <c r="B874" s="64" t="s">
        <v>396</v>
      </c>
      <c r="C874" s="315">
        <v>43344</v>
      </c>
      <c r="D874" s="314">
        <v>43524</v>
      </c>
      <c r="E874" s="357">
        <v>5</v>
      </c>
      <c r="F874" s="138">
        <v>1633.83</v>
      </c>
      <c r="G874" s="138">
        <v>1600</v>
      </c>
      <c r="H874" s="241"/>
      <c r="I874" s="125">
        <f t="shared" si="62"/>
        <v>3233.83</v>
      </c>
      <c r="J874" s="231">
        <f t="shared" si="63"/>
        <v>3233.83</v>
      </c>
      <c r="K874" s="14">
        <f t="shared" si="64"/>
        <v>0</v>
      </c>
      <c r="L874" s="14">
        <f t="shared" si="65"/>
        <v>0</v>
      </c>
    </row>
    <row r="875" spans="2:12" outlineLevel="1" x14ac:dyDescent="0.2">
      <c r="B875" s="65" t="s">
        <v>873</v>
      </c>
      <c r="C875" s="315">
        <v>43435</v>
      </c>
      <c r="D875" s="314">
        <v>43616</v>
      </c>
      <c r="E875" s="357">
        <v>5</v>
      </c>
      <c r="F875" s="138">
        <v>2314.6</v>
      </c>
      <c r="G875" s="138"/>
      <c r="H875" s="241"/>
      <c r="I875" s="125">
        <f t="shared" si="62"/>
        <v>2314.6</v>
      </c>
      <c r="J875" s="231">
        <f t="shared" si="63"/>
        <v>2314.6</v>
      </c>
      <c r="K875" s="14">
        <f t="shared" si="64"/>
        <v>0</v>
      </c>
      <c r="L875" s="14">
        <f t="shared" si="65"/>
        <v>0</v>
      </c>
    </row>
    <row r="876" spans="2:12" ht="24" outlineLevel="1" x14ac:dyDescent="0.2">
      <c r="B876" s="65" t="s">
        <v>874</v>
      </c>
      <c r="C876" s="315">
        <v>43374</v>
      </c>
      <c r="D876" s="314">
        <v>43708</v>
      </c>
      <c r="E876" s="357">
        <v>5</v>
      </c>
      <c r="F876" s="138">
        <v>1523.58</v>
      </c>
      <c r="G876" s="138"/>
      <c r="H876" s="241"/>
      <c r="I876" s="125">
        <f t="shared" si="62"/>
        <v>1523.58</v>
      </c>
      <c r="J876" s="231">
        <f t="shared" si="63"/>
        <v>1523.58</v>
      </c>
      <c r="K876" s="14">
        <f t="shared" si="64"/>
        <v>0</v>
      </c>
      <c r="L876" s="14">
        <f t="shared" si="65"/>
        <v>0</v>
      </c>
    </row>
    <row r="877" spans="2:12" ht="24" outlineLevel="1" x14ac:dyDescent="0.2">
      <c r="B877" s="64" t="s">
        <v>397</v>
      </c>
      <c r="C877" s="315">
        <v>43282</v>
      </c>
      <c r="D877" s="314">
        <v>43708</v>
      </c>
      <c r="E877" s="357">
        <v>5</v>
      </c>
      <c r="F877" s="138">
        <v>2314.86</v>
      </c>
      <c r="G877" s="138"/>
      <c r="H877" s="241"/>
      <c r="I877" s="125">
        <f t="shared" si="62"/>
        <v>2314.86</v>
      </c>
      <c r="J877" s="231">
        <f t="shared" si="63"/>
        <v>2314.86</v>
      </c>
      <c r="K877" s="14">
        <f t="shared" si="64"/>
        <v>0</v>
      </c>
      <c r="L877" s="14">
        <f t="shared" si="65"/>
        <v>0</v>
      </c>
    </row>
    <row r="878" spans="2:12" ht="24" outlineLevel="1" x14ac:dyDescent="0.2">
      <c r="B878" s="65" t="s">
        <v>875</v>
      </c>
      <c r="C878" s="315">
        <v>43435</v>
      </c>
      <c r="D878" s="314">
        <v>43585</v>
      </c>
      <c r="E878" s="357">
        <v>5</v>
      </c>
      <c r="F878" s="138">
        <v>1633.83</v>
      </c>
      <c r="G878" s="138"/>
      <c r="H878" s="241"/>
      <c r="I878" s="125">
        <f t="shared" si="62"/>
        <v>1633.83</v>
      </c>
      <c r="J878" s="231">
        <f t="shared" si="63"/>
        <v>1633.83</v>
      </c>
      <c r="K878" s="14">
        <f t="shared" si="64"/>
        <v>0</v>
      </c>
      <c r="L878" s="14">
        <f t="shared" si="65"/>
        <v>0</v>
      </c>
    </row>
    <row r="879" spans="2:12" ht="24" outlineLevel="1" x14ac:dyDescent="0.2">
      <c r="B879" s="65" t="s">
        <v>876</v>
      </c>
      <c r="C879" s="315">
        <v>43374</v>
      </c>
      <c r="D879" s="314">
        <v>43708</v>
      </c>
      <c r="E879" s="357">
        <v>5</v>
      </c>
      <c r="F879" s="138">
        <v>980.29</v>
      </c>
      <c r="G879" s="138"/>
      <c r="H879" s="241"/>
      <c r="I879" s="125">
        <f t="shared" si="62"/>
        <v>980.29</v>
      </c>
      <c r="J879" s="231">
        <f t="shared" si="63"/>
        <v>980.29</v>
      </c>
      <c r="K879" s="14">
        <f t="shared" si="64"/>
        <v>0</v>
      </c>
      <c r="L879" s="14">
        <f t="shared" si="65"/>
        <v>0</v>
      </c>
    </row>
    <row r="880" spans="2:12" ht="24" outlineLevel="1" x14ac:dyDescent="0.2">
      <c r="B880" s="64" t="s">
        <v>398</v>
      </c>
      <c r="C880" s="315">
        <v>43282</v>
      </c>
      <c r="D880" s="314">
        <v>43708</v>
      </c>
      <c r="E880" s="357">
        <v>5</v>
      </c>
      <c r="F880" s="138">
        <v>980.25</v>
      </c>
      <c r="G880" s="138"/>
      <c r="H880" s="241"/>
      <c r="I880" s="125">
        <f t="shared" ref="I880:I911" si="66">F880+G880+H880</f>
        <v>980.25</v>
      </c>
      <c r="J880" s="231">
        <f t="shared" ref="J880:J911" si="67">I880</f>
        <v>980.25</v>
      </c>
      <c r="K880" s="14">
        <f t="shared" ref="K880:K911" si="68">I880-J880</f>
        <v>0</v>
      </c>
      <c r="L880" s="14">
        <f t="shared" ref="L880:L911" si="69">I880-J880</f>
        <v>0</v>
      </c>
    </row>
    <row r="881" spans="2:12" ht="24" outlineLevel="1" x14ac:dyDescent="0.2">
      <c r="B881" s="64" t="s">
        <v>399</v>
      </c>
      <c r="C881" s="315">
        <v>43313</v>
      </c>
      <c r="D881" s="314">
        <v>43738</v>
      </c>
      <c r="E881" s="357">
        <v>10</v>
      </c>
      <c r="F881" s="138">
        <v>6238.25</v>
      </c>
      <c r="G881" s="138"/>
      <c r="H881" s="241"/>
      <c r="I881" s="125">
        <f t="shared" si="66"/>
        <v>6238.25</v>
      </c>
      <c r="J881" s="231">
        <f t="shared" si="67"/>
        <v>6238.25</v>
      </c>
      <c r="K881" s="14">
        <f t="shared" si="68"/>
        <v>0</v>
      </c>
      <c r="L881" s="14">
        <f t="shared" si="69"/>
        <v>0</v>
      </c>
    </row>
    <row r="882" spans="2:12" ht="24" outlineLevel="1" x14ac:dyDescent="0.2">
      <c r="B882" s="65" t="s">
        <v>877</v>
      </c>
      <c r="C882" s="315">
        <v>43435</v>
      </c>
      <c r="D882" s="314">
        <v>43585</v>
      </c>
      <c r="E882" s="357">
        <v>5</v>
      </c>
      <c r="F882" s="138">
        <v>2750.84</v>
      </c>
      <c r="G882" s="138"/>
      <c r="H882" s="241"/>
      <c r="I882" s="125">
        <f t="shared" si="66"/>
        <v>2750.84</v>
      </c>
      <c r="J882" s="231">
        <f t="shared" si="67"/>
        <v>2750.84</v>
      </c>
      <c r="K882" s="14">
        <f t="shared" si="68"/>
        <v>0</v>
      </c>
      <c r="L882" s="14">
        <f t="shared" si="69"/>
        <v>0</v>
      </c>
    </row>
    <row r="883" spans="2:12" ht="24" outlineLevel="1" x14ac:dyDescent="0.2">
      <c r="B883" s="64" t="s">
        <v>156</v>
      </c>
      <c r="C883" s="315">
        <v>43132</v>
      </c>
      <c r="D883" s="314">
        <v>43616</v>
      </c>
      <c r="E883" s="357">
        <v>15</v>
      </c>
      <c r="F883" s="138">
        <v>5326.06</v>
      </c>
      <c r="G883" s="138">
        <v>45000</v>
      </c>
      <c r="H883" s="241"/>
      <c r="I883" s="125">
        <f t="shared" si="66"/>
        <v>50326.06</v>
      </c>
      <c r="J883" s="231">
        <f t="shared" si="67"/>
        <v>50326.06</v>
      </c>
      <c r="K883" s="14">
        <f t="shared" si="68"/>
        <v>0</v>
      </c>
      <c r="L883" s="14">
        <f t="shared" si="69"/>
        <v>0</v>
      </c>
    </row>
    <row r="884" spans="2:12" ht="24" outlineLevel="1" x14ac:dyDescent="0.2">
      <c r="B884" s="64" t="s">
        <v>157</v>
      </c>
      <c r="C884" s="315">
        <v>43132</v>
      </c>
      <c r="D884" s="314">
        <v>43524</v>
      </c>
      <c r="E884" s="357">
        <v>10</v>
      </c>
      <c r="F884" s="138">
        <v>1157.8900000000001</v>
      </c>
      <c r="G884" s="138">
        <v>1600</v>
      </c>
      <c r="H884" s="241"/>
      <c r="I884" s="125">
        <f t="shared" si="66"/>
        <v>2757.8900000000003</v>
      </c>
      <c r="J884" s="231">
        <f t="shared" si="67"/>
        <v>2757.8900000000003</v>
      </c>
      <c r="K884" s="14">
        <f t="shared" si="68"/>
        <v>0</v>
      </c>
      <c r="L884" s="14">
        <f t="shared" si="69"/>
        <v>0</v>
      </c>
    </row>
    <row r="885" spans="2:12" ht="24" outlineLevel="1" x14ac:dyDescent="0.2">
      <c r="B885" s="64" t="s">
        <v>158</v>
      </c>
      <c r="C885" s="315">
        <v>43132</v>
      </c>
      <c r="D885" s="314">
        <v>43555</v>
      </c>
      <c r="E885" s="357">
        <v>10</v>
      </c>
      <c r="F885" s="138">
        <v>1157.8900000000001</v>
      </c>
      <c r="G885" s="138">
        <v>1600</v>
      </c>
      <c r="H885" s="241"/>
      <c r="I885" s="125">
        <f t="shared" si="66"/>
        <v>2757.8900000000003</v>
      </c>
      <c r="J885" s="231">
        <f t="shared" si="67"/>
        <v>2757.8900000000003</v>
      </c>
      <c r="K885" s="14">
        <f t="shared" si="68"/>
        <v>0</v>
      </c>
      <c r="L885" s="14">
        <f t="shared" si="69"/>
        <v>0</v>
      </c>
    </row>
    <row r="886" spans="2:12" ht="24" outlineLevel="1" x14ac:dyDescent="0.2">
      <c r="B886" s="64" t="s">
        <v>159</v>
      </c>
      <c r="C886" s="315">
        <v>43160</v>
      </c>
      <c r="D886" s="314">
        <v>43524</v>
      </c>
      <c r="E886" s="357">
        <v>5</v>
      </c>
      <c r="F886" s="138">
        <v>2184.13</v>
      </c>
      <c r="G886" s="138">
        <v>1600</v>
      </c>
      <c r="H886" s="241"/>
      <c r="I886" s="125">
        <f t="shared" si="66"/>
        <v>3784.13</v>
      </c>
      <c r="J886" s="231">
        <f t="shared" si="67"/>
        <v>3784.13</v>
      </c>
      <c r="K886" s="14">
        <f t="shared" si="68"/>
        <v>0</v>
      </c>
      <c r="L886" s="14">
        <f t="shared" si="69"/>
        <v>0</v>
      </c>
    </row>
    <row r="887" spans="2:12" ht="24" outlineLevel="1" x14ac:dyDescent="0.2">
      <c r="B887" s="64" t="s">
        <v>126</v>
      </c>
      <c r="C887" s="315">
        <v>43009</v>
      </c>
      <c r="D887" s="314">
        <v>43799</v>
      </c>
      <c r="E887" s="357">
        <v>15</v>
      </c>
      <c r="F887" s="138">
        <v>6035.26</v>
      </c>
      <c r="G887" s="138">
        <v>13500</v>
      </c>
      <c r="H887" s="241"/>
      <c r="I887" s="125">
        <f t="shared" si="66"/>
        <v>19535.260000000002</v>
      </c>
      <c r="J887" s="231">
        <f t="shared" si="67"/>
        <v>19535.260000000002</v>
      </c>
      <c r="K887" s="14">
        <f t="shared" si="68"/>
        <v>0</v>
      </c>
      <c r="L887" s="14">
        <f t="shared" si="69"/>
        <v>0</v>
      </c>
    </row>
    <row r="888" spans="2:12" ht="24" outlineLevel="1" x14ac:dyDescent="0.2">
      <c r="B888" s="65" t="s">
        <v>878</v>
      </c>
      <c r="C888" s="315">
        <v>43435</v>
      </c>
      <c r="D888" s="314">
        <v>43524</v>
      </c>
      <c r="E888" s="357">
        <v>5</v>
      </c>
      <c r="F888" s="138">
        <v>1851.68</v>
      </c>
      <c r="G888" s="138"/>
      <c r="H888" s="241"/>
      <c r="I888" s="125">
        <f t="shared" si="66"/>
        <v>1851.68</v>
      </c>
      <c r="J888" s="231">
        <f t="shared" si="67"/>
        <v>1851.68</v>
      </c>
      <c r="K888" s="14">
        <f t="shared" si="68"/>
        <v>0</v>
      </c>
      <c r="L888" s="14">
        <f t="shared" si="69"/>
        <v>0</v>
      </c>
    </row>
    <row r="889" spans="2:12" ht="24" outlineLevel="1" x14ac:dyDescent="0.2">
      <c r="B889" s="65" t="s">
        <v>879</v>
      </c>
      <c r="C889" s="315">
        <v>43405</v>
      </c>
      <c r="D889" s="314">
        <v>43524</v>
      </c>
      <c r="E889" s="357">
        <v>5</v>
      </c>
      <c r="F889" s="138">
        <v>1851.67</v>
      </c>
      <c r="G889" s="138"/>
      <c r="H889" s="241"/>
      <c r="I889" s="125">
        <f t="shared" si="66"/>
        <v>1851.67</v>
      </c>
      <c r="J889" s="231">
        <f t="shared" si="67"/>
        <v>1851.67</v>
      </c>
      <c r="K889" s="14">
        <f t="shared" si="68"/>
        <v>0</v>
      </c>
      <c r="L889" s="14">
        <f t="shared" si="69"/>
        <v>0</v>
      </c>
    </row>
    <row r="890" spans="2:12" ht="24" outlineLevel="1" x14ac:dyDescent="0.2">
      <c r="B890" s="64" t="s">
        <v>400</v>
      </c>
      <c r="C890" s="315">
        <v>43282</v>
      </c>
      <c r="D890" s="314">
        <v>43646</v>
      </c>
      <c r="E890" s="357">
        <v>50</v>
      </c>
      <c r="F890" s="138">
        <v>9992.52</v>
      </c>
      <c r="G890" s="138">
        <v>207115.57</v>
      </c>
      <c r="H890" s="241"/>
      <c r="I890" s="125">
        <f t="shared" si="66"/>
        <v>217108.09</v>
      </c>
      <c r="J890" s="231">
        <f t="shared" si="67"/>
        <v>217108.09</v>
      </c>
      <c r="K890" s="14">
        <f t="shared" si="68"/>
        <v>0</v>
      </c>
      <c r="L890" s="14">
        <f t="shared" si="69"/>
        <v>0</v>
      </c>
    </row>
    <row r="891" spans="2:12" ht="36" outlineLevel="1" x14ac:dyDescent="0.2">
      <c r="B891" s="65" t="s">
        <v>880</v>
      </c>
      <c r="C891" s="315">
        <v>43435</v>
      </c>
      <c r="D891" s="314">
        <v>43555</v>
      </c>
      <c r="E891" s="357">
        <v>5</v>
      </c>
      <c r="F891" s="138">
        <v>1523.58</v>
      </c>
      <c r="G891" s="138"/>
      <c r="H891" s="241"/>
      <c r="I891" s="125">
        <f t="shared" si="66"/>
        <v>1523.58</v>
      </c>
      <c r="J891" s="231">
        <f t="shared" si="67"/>
        <v>1523.58</v>
      </c>
      <c r="K891" s="14">
        <f t="shared" si="68"/>
        <v>0</v>
      </c>
      <c r="L891" s="14">
        <f t="shared" si="69"/>
        <v>0</v>
      </c>
    </row>
    <row r="892" spans="2:12" ht="24" outlineLevel="1" x14ac:dyDescent="0.2">
      <c r="B892" s="65" t="s">
        <v>881</v>
      </c>
      <c r="C892" s="315">
        <v>43435</v>
      </c>
      <c r="D892" s="314">
        <v>43738</v>
      </c>
      <c r="E892" s="357">
        <v>5</v>
      </c>
      <c r="F892" s="138">
        <v>3240.44</v>
      </c>
      <c r="G892" s="138"/>
      <c r="H892" s="241"/>
      <c r="I892" s="125">
        <f t="shared" si="66"/>
        <v>3240.44</v>
      </c>
      <c r="J892" s="231">
        <f t="shared" si="67"/>
        <v>3240.44</v>
      </c>
      <c r="K892" s="14">
        <f t="shared" si="68"/>
        <v>0</v>
      </c>
      <c r="L892" s="14">
        <f t="shared" si="69"/>
        <v>0</v>
      </c>
    </row>
    <row r="893" spans="2:12" ht="24" outlineLevel="1" x14ac:dyDescent="0.2">
      <c r="B893" s="64" t="s">
        <v>52</v>
      </c>
      <c r="C893" s="315">
        <v>42887</v>
      </c>
      <c r="D893" s="314">
        <v>43677</v>
      </c>
      <c r="E893" s="357">
        <v>15</v>
      </c>
      <c r="F893" s="138">
        <v>8835.35</v>
      </c>
      <c r="G893" s="300">
        <v>17000</v>
      </c>
      <c r="H893" s="241"/>
      <c r="I893" s="125">
        <f t="shared" si="66"/>
        <v>25835.35</v>
      </c>
      <c r="J893" s="231">
        <f t="shared" si="67"/>
        <v>25835.35</v>
      </c>
      <c r="K893" s="14">
        <f t="shared" si="68"/>
        <v>0</v>
      </c>
      <c r="L893" s="14">
        <f t="shared" si="69"/>
        <v>0</v>
      </c>
    </row>
    <row r="894" spans="2:12" ht="24" outlineLevel="1" x14ac:dyDescent="0.2">
      <c r="B894" s="64" t="s">
        <v>401</v>
      </c>
      <c r="C894" s="315">
        <v>43313</v>
      </c>
      <c r="D894" s="314">
        <v>43524</v>
      </c>
      <c r="E894" s="357">
        <v>10</v>
      </c>
      <c r="F894" s="138">
        <v>7761.84</v>
      </c>
      <c r="G894" s="138"/>
      <c r="H894" s="241"/>
      <c r="I894" s="125">
        <f t="shared" si="66"/>
        <v>7761.84</v>
      </c>
      <c r="J894" s="231">
        <f t="shared" si="67"/>
        <v>7761.84</v>
      </c>
      <c r="K894" s="14">
        <f t="shared" si="68"/>
        <v>0</v>
      </c>
      <c r="L894" s="14">
        <f t="shared" si="69"/>
        <v>0</v>
      </c>
    </row>
    <row r="895" spans="2:12" ht="24" outlineLevel="1" x14ac:dyDescent="0.2">
      <c r="B895" s="65" t="s">
        <v>882</v>
      </c>
      <c r="C895" s="315">
        <v>43374</v>
      </c>
      <c r="D895" s="314">
        <v>43524</v>
      </c>
      <c r="E895" s="357">
        <v>5</v>
      </c>
      <c r="F895" s="138">
        <v>2314.6</v>
      </c>
      <c r="G895" s="138">
        <v>1600</v>
      </c>
      <c r="H895" s="241"/>
      <c r="I895" s="125">
        <f t="shared" si="66"/>
        <v>3914.6</v>
      </c>
      <c r="J895" s="231">
        <f t="shared" si="67"/>
        <v>3914.6</v>
      </c>
      <c r="K895" s="14">
        <f t="shared" si="68"/>
        <v>0</v>
      </c>
      <c r="L895" s="14">
        <f t="shared" si="69"/>
        <v>0</v>
      </c>
    </row>
    <row r="896" spans="2:12" outlineLevel="1" x14ac:dyDescent="0.2">
      <c r="B896" s="65" t="s">
        <v>883</v>
      </c>
      <c r="C896" s="315">
        <v>43374</v>
      </c>
      <c r="D896" s="314">
        <v>43646</v>
      </c>
      <c r="E896" s="357">
        <v>5</v>
      </c>
      <c r="F896" s="138">
        <v>1388.75</v>
      </c>
      <c r="G896" s="138"/>
      <c r="H896" s="241"/>
      <c r="I896" s="125">
        <f t="shared" si="66"/>
        <v>1388.75</v>
      </c>
      <c r="J896" s="231">
        <f t="shared" si="67"/>
        <v>1388.75</v>
      </c>
      <c r="K896" s="14">
        <f t="shared" si="68"/>
        <v>0</v>
      </c>
      <c r="L896" s="14">
        <f t="shared" si="69"/>
        <v>0</v>
      </c>
    </row>
    <row r="897" spans="2:12" ht="24" outlineLevel="1" x14ac:dyDescent="0.2">
      <c r="B897" s="65" t="s">
        <v>884</v>
      </c>
      <c r="C897" s="315">
        <v>43435</v>
      </c>
      <c r="D897" s="314">
        <v>43708</v>
      </c>
      <c r="E897" s="357">
        <v>5</v>
      </c>
      <c r="F897" s="138">
        <v>1523.58</v>
      </c>
      <c r="G897" s="138"/>
      <c r="H897" s="241"/>
      <c r="I897" s="125">
        <f t="shared" si="66"/>
        <v>1523.58</v>
      </c>
      <c r="J897" s="231">
        <f t="shared" si="67"/>
        <v>1523.58</v>
      </c>
      <c r="K897" s="14">
        <f t="shared" si="68"/>
        <v>0</v>
      </c>
      <c r="L897" s="14">
        <f t="shared" si="69"/>
        <v>0</v>
      </c>
    </row>
    <row r="898" spans="2:12" outlineLevel="1" x14ac:dyDescent="0.2">
      <c r="B898" s="65" t="s">
        <v>885</v>
      </c>
      <c r="C898" s="315">
        <v>43435</v>
      </c>
      <c r="D898" s="314">
        <v>43708</v>
      </c>
      <c r="E898" s="357">
        <v>5</v>
      </c>
      <c r="F898" s="138">
        <v>2645.25</v>
      </c>
      <c r="G898" s="138"/>
      <c r="H898" s="241"/>
      <c r="I898" s="125">
        <f t="shared" si="66"/>
        <v>2645.25</v>
      </c>
      <c r="J898" s="231">
        <f t="shared" si="67"/>
        <v>2645.25</v>
      </c>
      <c r="K898" s="14">
        <f t="shared" si="68"/>
        <v>0</v>
      </c>
      <c r="L898" s="14">
        <f t="shared" si="69"/>
        <v>0</v>
      </c>
    </row>
    <row r="899" spans="2:12" ht="24" outlineLevel="1" x14ac:dyDescent="0.2">
      <c r="B899" s="64" t="s">
        <v>53</v>
      </c>
      <c r="C899" s="315">
        <v>42614</v>
      </c>
      <c r="D899" s="314">
        <v>43524</v>
      </c>
      <c r="E899" s="357">
        <v>20</v>
      </c>
      <c r="F899" s="138">
        <v>11894.44</v>
      </c>
      <c r="G899" s="299">
        <v>120849.8</v>
      </c>
      <c r="H899" s="241"/>
      <c r="I899" s="125">
        <f t="shared" si="66"/>
        <v>132744.24</v>
      </c>
      <c r="J899" s="231">
        <f t="shared" si="67"/>
        <v>132744.24</v>
      </c>
      <c r="K899" s="14">
        <f t="shared" si="68"/>
        <v>0</v>
      </c>
      <c r="L899" s="14">
        <f t="shared" si="69"/>
        <v>0</v>
      </c>
    </row>
    <row r="900" spans="2:12" ht="24" outlineLevel="1" x14ac:dyDescent="0.2">
      <c r="B900" s="64" t="s">
        <v>295</v>
      </c>
      <c r="C900" s="315">
        <v>43191</v>
      </c>
      <c r="D900" s="314">
        <v>43769</v>
      </c>
      <c r="E900" s="357">
        <v>5</v>
      </c>
      <c r="F900" s="138">
        <v>1927.52</v>
      </c>
      <c r="G900" s="138"/>
      <c r="H900" s="241"/>
      <c r="I900" s="125">
        <f t="shared" si="66"/>
        <v>1927.52</v>
      </c>
      <c r="J900" s="231">
        <f t="shared" si="67"/>
        <v>1927.52</v>
      </c>
      <c r="K900" s="14">
        <f t="shared" si="68"/>
        <v>0</v>
      </c>
      <c r="L900" s="14">
        <f t="shared" si="69"/>
        <v>0</v>
      </c>
    </row>
    <row r="901" spans="2:12" ht="24" outlineLevel="1" x14ac:dyDescent="0.2">
      <c r="B901" s="64" t="s">
        <v>402</v>
      </c>
      <c r="C901" s="315">
        <v>43344</v>
      </c>
      <c r="D901" s="314">
        <v>43769</v>
      </c>
      <c r="E901" s="357">
        <v>5</v>
      </c>
      <c r="F901" s="138">
        <v>2314.6</v>
      </c>
      <c r="G901" s="138"/>
      <c r="H901" s="241"/>
      <c r="I901" s="125">
        <f t="shared" si="66"/>
        <v>2314.6</v>
      </c>
      <c r="J901" s="231">
        <f t="shared" si="67"/>
        <v>2314.6</v>
      </c>
      <c r="K901" s="14">
        <f t="shared" si="68"/>
        <v>0</v>
      </c>
      <c r="L901" s="14">
        <f t="shared" si="69"/>
        <v>0</v>
      </c>
    </row>
    <row r="902" spans="2:12" ht="24" outlineLevel="1" x14ac:dyDescent="0.2">
      <c r="B902" s="65" t="s">
        <v>886</v>
      </c>
      <c r="C902" s="315">
        <v>43374</v>
      </c>
      <c r="D902" s="314">
        <v>43769</v>
      </c>
      <c r="E902" s="357">
        <v>5</v>
      </c>
      <c r="F902" s="138">
        <v>1523.58</v>
      </c>
      <c r="G902" s="138"/>
      <c r="H902" s="241"/>
      <c r="I902" s="125">
        <f t="shared" si="66"/>
        <v>1523.58</v>
      </c>
      <c r="J902" s="231">
        <f t="shared" si="67"/>
        <v>1523.58</v>
      </c>
      <c r="K902" s="14">
        <f t="shared" si="68"/>
        <v>0</v>
      </c>
      <c r="L902" s="14">
        <f t="shared" si="69"/>
        <v>0</v>
      </c>
    </row>
    <row r="903" spans="2:12" ht="24" outlineLevel="1" x14ac:dyDescent="0.2">
      <c r="B903" s="64" t="s">
        <v>296</v>
      </c>
      <c r="C903" s="315">
        <v>43252</v>
      </c>
      <c r="D903" s="314">
        <v>43524</v>
      </c>
      <c r="E903" s="357">
        <v>5</v>
      </c>
      <c r="F903" s="138">
        <v>1851.66</v>
      </c>
      <c r="G903" s="138"/>
      <c r="H903" s="241"/>
      <c r="I903" s="125">
        <f t="shared" si="66"/>
        <v>1851.66</v>
      </c>
      <c r="J903" s="231">
        <f t="shared" si="67"/>
        <v>1851.66</v>
      </c>
      <c r="K903" s="14">
        <f t="shared" si="68"/>
        <v>0</v>
      </c>
      <c r="L903" s="14">
        <f t="shared" si="69"/>
        <v>0</v>
      </c>
    </row>
    <row r="904" spans="2:12" ht="24" outlineLevel="1" x14ac:dyDescent="0.2">
      <c r="B904" s="65" t="s">
        <v>887</v>
      </c>
      <c r="C904" s="315">
        <v>43435</v>
      </c>
      <c r="D904" s="314">
        <v>43799</v>
      </c>
      <c r="E904" s="357">
        <v>5</v>
      </c>
      <c r="F904" s="138">
        <v>3507.52</v>
      </c>
      <c r="G904" s="138"/>
      <c r="H904" s="241"/>
      <c r="I904" s="125">
        <f t="shared" si="66"/>
        <v>3507.52</v>
      </c>
      <c r="J904" s="231">
        <f t="shared" si="67"/>
        <v>3507.52</v>
      </c>
      <c r="K904" s="14">
        <f t="shared" si="68"/>
        <v>0</v>
      </c>
      <c r="L904" s="14">
        <f t="shared" si="69"/>
        <v>0</v>
      </c>
    </row>
    <row r="905" spans="2:12" ht="24" outlineLevel="1" x14ac:dyDescent="0.2">
      <c r="B905" s="65" t="s">
        <v>888</v>
      </c>
      <c r="C905" s="315">
        <v>43435</v>
      </c>
      <c r="D905" s="314">
        <v>43677</v>
      </c>
      <c r="E905" s="357">
        <v>5</v>
      </c>
      <c r="F905" s="138">
        <v>2314.6</v>
      </c>
      <c r="G905" s="138"/>
      <c r="H905" s="241"/>
      <c r="I905" s="125">
        <f t="shared" si="66"/>
        <v>2314.6</v>
      </c>
      <c r="J905" s="231">
        <f t="shared" si="67"/>
        <v>2314.6</v>
      </c>
      <c r="K905" s="14">
        <f t="shared" si="68"/>
        <v>0</v>
      </c>
      <c r="L905" s="14">
        <f t="shared" si="69"/>
        <v>0</v>
      </c>
    </row>
    <row r="906" spans="2:12" ht="24" outlineLevel="1" x14ac:dyDescent="0.2">
      <c r="B906" s="65" t="s">
        <v>889</v>
      </c>
      <c r="C906" s="315">
        <v>43405</v>
      </c>
      <c r="D906" s="314">
        <v>43585</v>
      </c>
      <c r="E906" s="357">
        <v>5</v>
      </c>
      <c r="F906" s="138">
        <v>1633.83</v>
      </c>
      <c r="G906" s="138"/>
      <c r="H906" s="241"/>
      <c r="I906" s="125">
        <f t="shared" si="66"/>
        <v>1633.83</v>
      </c>
      <c r="J906" s="231">
        <f t="shared" si="67"/>
        <v>1633.83</v>
      </c>
      <c r="K906" s="14">
        <f t="shared" si="68"/>
        <v>0</v>
      </c>
      <c r="L906" s="14">
        <f t="shared" si="69"/>
        <v>0</v>
      </c>
    </row>
    <row r="907" spans="2:12" ht="24" outlineLevel="1" x14ac:dyDescent="0.2">
      <c r="B907" s="64" t="s">
        <v>403</v>
      </c>
      <c r="C907" s="315">
        <v>43313</v>
      </c>
      <c r="D907" s="314">
        <v>43677</v>
      </c>
      <c r="E907" s="357">
        <v>10</v>
      </c>
      <c r="F907" s="138">
        <v>5447.25</v>
      </c>
      <c r="G907" s="138"/>
      <c r="H907" s="241"/>
      <c r="I907" s="125">
        <f t="shared" si="66"/>
        <v>5447.25</v>
      </c>
      <c r="J907" s="231">
        <f t="shared" si="67"/>
        <v>5447.25</v>
      </c>
      <c r="K907" s="14">
        <f t="shared" si="68"/>
        <v>0</v>
      </c>
      <c r="L907" s="14">
        <f t="shared" si="69"/>
        <v>0</v>
      </c>
    </row>
    <row r="908" spans="2:12" ht="24" outlineLevel="1" x14ac:dyDescent="0.2">
      <c r="B908" s="65" t="s">
        <v>890</v>
      </c>
      <c r="C908" s="315">
        <v>43374</v>
      </c>
      <c r="D908" s="314">
        <v>43555</v>
      </c>
      <c r="E908" s="357">
        <v>5</v>
      </c>
      <c r="F908" s="138">
        <v>1633.83</v>
      </c>
      <c r="G908" s="138"/>
      <c r="H908" s="241"/>
      <c r="I908" s="125">
        <f t="shared" si="66"/>
        <v>1633.83</v>
      </c>
      <c r="J908" s="231">
        <f t="shared" si="67"/>
        <v>1633.83</v>
      </c>
      <c r="K908" s="14">
        <f t="shared" si="68"/>
        <v>0</v>
      </c>
      <c r="L908" s="14">
        <f t="shared" si="69"/>
        <v>0</v>
      </c>
    </row>
    <row r="909" spans="2:12" ht="24" outlineLevel="1" x14ac:dyDescent="0.2">
      <c r="B909" s="65" t="s">
        <v>891</v>
      </c>
      <c r="C909" s="315">
        <v>43405</v>
      </c>
      <c r="D909" s="314">
        <v>43799</v>
      </c>
      <c r="E909" s="357">
        <v>5</v>
      </c>
      <c r="F909" s="138">
        <v>2314.6</v>
      </c>
      <c r="G909" s="138"/>
      <c r="H909" s="241"/>
      <c r="I909" s="125">
        <f t="shared" si="66"/>
        <v>2314.6</v>
      </c>
      <c r="J909" s="231">
        <f t="shared" si="67"/>
        <v>2314.6</v>
      </c>
      <c r="K909" s="14">
        <f t="shared" si="68"/>
        <v>0</v>
      </c>
      <c r="L909" s="14">
        <f t="shared" si="69"/>
        <v>0</v>
      </c>
    </row>
    <row r="910" spans="2:12" ht="24" outlineLevel="1" x14ac:dyDescent="0.2">
      <c r="B910" s="64" t="s">
        <v>54</v>
      </c>
      <c r="C910" s="315">
        <v>42795</v>
      </c>
      <c r="D910" s="314">
        <v>43677</v>
      </c>
      <c r="E910" s="357">
        <v>5</v>
      </c>
      <c r="F910" s="138">
        <v>1528.37</v>
      </c>
      <c r="G910" s="299"/>
      <c r="H910" s="241"/>
      <c r="I910" s="125">
        <f t="shared" si="66"/>
        <v>1528.37</v>
      </c>
      <c r="J910" s="231">
        <f t="shared" si="67"/>
        <v>1528.37</v>
      </c>
      <c r="K910" s="14">
        <f t="shared" si="68"/>
        <v>0</v>
      </c>
      <c r="L910" s="14">
        <f t="shared" si="69"/>
        <v>0</v>
      </c>
    </row>
    <row r="911" spans="2:12" outlineLevel="1" x14ac:dyDescent="0.2">
      <c r="B911" s="65" t="s">
        <v>892</v>
      </c>
      <c r="C911" s="315">
        <v>43435</v>
      </c>
      <c r="D911" s="314">
        <v>43677</v>
      </c>
      <c r="E911" s="357">
        <v>5</v>
      </c>
      <c r="F911" s="138">
        <v>1633.83</v>
      </c>
      <c r="G911" s="138"/>
      <c r="H911" s="241"/>
      <c r="I911" s="125">
        <f t="shared" si="66"/>
        <v>1633.83</v>
      </c>
      <c r="J911" s="231">
        <f t="shared" si="67"/>
        <v>1633.83</v>
      </c>
      <c r="K911" s="14">
        <f t="shared" si="68"/>
        <v>0</v>
      </c>
      <c r="L911" s="14">
        <f t="shared" si="69"/>
        <v>0</v>
      </c>
    </row>
    <row r="912" spans="2:12" x14ac:dyDescent="0.2">
      <c r="B912" s="58"/>
      <c r="C912" s="315"/>
      <c r="D912" s="315"/>
      <c r="E912" s="352"/>
      <c r="F912" s="125">
        <f t="shared" ref="F912:H912" si="70">SUM(F720:F911)</f>
        <v>690521.81999999937</v>
      </c>
      <c r="G912" s="125">
        <f t="shared" si="70"/>
        <v>1313886.23</v>
      </c>
      <c r="H912" s="125">
        <f t="shared" si="70"/>
        <v>0</v>
      </c>
      <c r="I912" s="125">
        <f>SUM(I720:I911)</f>
        <v>2004408.050000001</v>
      </c>
      <c r="J912" s="124">
        <f t="shared" ref="J912:L912" si="71">SUM(J720:J911)</f>
        <v>2004408.050000001</v>
      </c>
      <c r="K912" s="26">
        <f t="shared" si="71"/>
        <v>0</v>
      </c>
      <c r="L912" s="26">
        <f t="shared" si="71"/>
        <v>0</v>
      </c>
    </row>
    <row r="913" spans="2:12" x14ac:dyDescent="0.2">
      <c r="B913" s="7"/>
      <c r="C913" s="348"/>
      <c r="D913" s="348"/>
      <c r="E913" s="365"/>
      <c r="F913" s="241"/>
      <c r="G913" s="241"/>
      <c r="H913" s="241"/>
      <c r="I913" s="136"/>
      <c r="J913" s="130"/>
      <c r="K913" s="28"/>
      <c r="L913" s="21"/>
    </row>
    <row r="914" spans="2:12" ht="24" x14ac:dyDescent="0.2">
      <c r="B914" s="50" t="s">
        <v>893</v>
      </c>
      <c r="C914" s="315"/>
      <c r="D914" s="314"/>
      <c r="E914" s="351"/>
      <c r="F914" s="138"/>
      <c r="G914" s="138"/>
      <c r="H914" s="241"/>
      <c r="I914" s="136"/>
      <c r="J914" s="130"/>
      <c r="K914" s="66"/>
      <c r="L914" s="62"/>
    </row>
    <row r="915" spans="2:12" ht="24" outlineLevel="1" x14ac:dyDescent="0.2">
      <c r="B915" s="68" t="s">
        <v>894</v>
      </c>
      <c r="C915" s="315">
        <v>43306</v>
      </c>
      <c r="D915" s="314">
        <v>43555</v>
      </c>
      <c r="E915" s="351">
        <v>60</v>
      </c>
      <c r="F915" s="138"/>
      <c r="G915" s="138">
        <v>19552.830000000002</v>
      </c>
      <c r="H915" s="241"/>
      <c r="I915" s="138">
        <v>19552.830000000002</v>
      </c>
      <c r="J915" s="138">
        <v>19552.830000000002</v>
      </c>
      <c r="K915" s="66"/>
      <c r="L915" s="62"/>
    </row>
    <row r="916" spans="2:12" ht="24" outlineLevel="1" x14ac:dyDescent="0.2">
      <c r="B916" s="68" t="s">
        <v>298</v>
      </c>
      <c r="C916" s="315">
        <v>43117</v>
      </c>
      <c r="D916" s="314">
        <v>43616</v>
      </c>
      <c r="E916" s="351">
        <v>40</v>
      </c>
      <c r="F916" s="138"/>
      <c r="G916" s="138">
        <v>5901.33</v>
      </c>
      <c r="H916" s="241"/>
      <c r="I916" s="138">
        <v>5901.33</v>
      </c>
      <c r="J916" s="138">
        <v>5901.33</v>
      </c>
      <c r="K916" s="66"/>
      <c r="L916" s="62"/>
    </row>
    <row r="917" spans="2:12" ht="12.75" outlineLevel="1" x14ac:dyDescent="0.2">
      <c r="B917" s="68" t="s">
        <v>302</v>
      </c>
      <c r="C917" s="315">
        <v>43147</v>
      </c>
      <c r="D917" s="314">
        <v>43585</v>
      </c>
      <c r="E917" s="351">
        <v>50</v>
      </c>
      <c r="F917" s="138"/>
      <c r="G917" s="138">
        <v>15736.98</v>
      </c>
      <c r="H917" s="241"/>
      <c r="I917" s="138">
        <v>15736.98</v>
      </c>
      <c r="J917" s="138">
        <v>15736.98</v>
      </c>
      <c r="K917" s="66"/>
      <c r="L917" s="62"/>
    </row>
    <row r="918" spans="2:12" ht="24" outlineLevel="1" x14ac:dyDescent="0.2">
      <c r="B918" s="68" t="s">
        <v>309</v>
      </c>
      <c r="C918" s="315">
        <v>43151</v>
      </c>
      <c r="D918" s="314">
        <v>43555</v>
      </c>
      <c r="E918" s="351">
        <v>40</v>
      </c>
      <c r="F918" s="138"/>
      <c r="G918" s="138">
        <v>25774.78</v>
      </c>
      <c r="H918" s="241"/>
      <c r="I918" s="138">
        <v>25774.78</v>
      </c>
      <c r="J918" s="138">
        <v>25774.78</v>
      </c>
      <c r="K918" s="66"/>
      <c r="L918" s="62"/>
    </row>
    <row r="919" spans="2:12" ht="24" outlineLevel="1" x14ac:dyDescent="0.2">
      <c r="B919" s="68" t="s">
        <v>308</v>
      </c>
      <c r="C919" s="315">
        <v>43265</v>
      </c>
      <c r="D919" s="314">
        <v>43555</v>
      </c>
      <c r="E919" s="351">
        <v>40</v>
      </c>
      <c r="F919" s="138"/>
      <c r="G919" s="138">
        <v>1934.42</v>
      </c>
      <c r="H919" s="241"/>
      <c r="I919" s="138">
        <v>1934.42</v>
      </c>
      <c r="J919" s="138">
        <v>1934.42</v>
      </c>
      <c r="K919" s="66"/>
      <c r="L919" s="62"/>
    </row>
    <row r="920" spans="2:12" ht="12.75" outlineLevel="1" x14ac:dyDescent="0.2">
      <c r="B920" s="68" t="s">
        <v>311</v>
      </c>
      <c r="C920" s="315">
        <v>43174</v>
      </c>
      <c r="D920" s="314">
        <v>43496</v>
      </c>
      <c r="E920" s="351">
        <v>99</v>
      </c>
      <c r="F920" s="138"/>
      <c r="G920" s="138">
        <v>4790.6400000000003</v>
      </c>
      <c r="H920" s="241"/>
      <c r="I920" s="138">
        <v>4790.6400000000003</v>
      </c>
      <c r="J920" s="138">
        <v>4790.6400000000003</v>
      </c>
      <c r="K920" s="66"/>
      <c r="L920" s="62"/>
    </row>
    <row r="921" spans="2:12" ht="12.75" outlineLevel="1" x14ac:dyDescent="0.2">
      <c r="B921" s="68" t="s">
        <v>299</v>
      </c>
      <c r="C921" s="315">
        <v>43193</v>
      </c>
      <c r="D921" s="314">
        <v>43585</v>
      </c>
      <c r="E921" s="351">
        <v>50</v>
      </c>
      <c r="F921" s="138"/>
      <c r="G921" s="138">
        <v>70021.06</v>
      </c>
      <c r="H921" s="241"/>
      <c r="I921" s="138">
        <v>70021.06</v>
      </c>
      <c r="J921" s="138">
        <v>70021.06</v>
      </c>
      <c r="K921" s="66"/>
      <c r="L921" s="62"/>
    </row>
    <row r="922" spans="2:12" ht="12.75" outlineLevel="1" x14ac:dyDescent="0.2">
      <c r="B922" s="68" t="s">
        <v>301</v>
      </c>
      <c r="C922" s="315">
        <v>43194</v>
      </c>
      <c r="D922" s="314">
        <v>43555</v>
      </c>
      <c r="E922" s="351">
        <v>30</v>
      </c>
      <c r="F922" s="138"/>
      <c r="G922" s="138">
        <v>5138.38</v>
      </c>
      <c r="H922" s="241"/>
      <c r="I922" s="138">
        <v>5138.38</v>
      </c>
      <c r="J922" s="138">
        <v>5138.38</v>
      </c>
      <c r="K922" s="66"/>
      <c r="L922" s="62"/>
    </row>
    <row r="923" spans="2:12" ht="24" outlineLevel="1" x14ac:dyDescent="0.2">
      <c r="B923" s="68" t="s">
        <v>305</v>
      </c>
      <c r="C923" s="315">
        <v>43237</v>
      </c>
      <c r="D923" s="314">
        <v>43616</v>
      </c>
      <c r="E923" s="351">
        <v>40</v>
      </c>
      <c r="F923" s="138"/>
      <c r="G923" s="138">
        <v>6131.67</v>
      </c>
      <c r="H923" s="241"/>
      <c r="I923" s="138">
        <v>6131.67</v>
      </c>
      <c r="J923" s="138">
        <v>6131.67</v>
      </c>
      <c r="K923" s="66"/>
      <c r="L923" s="62"/>
    </row>
    <row r="924" spans="2:12" ht="24" outlineLevel="1" x14ac:dyDescent="0.2">
      <c r="B924" s="68" t="s">
        <v>306</v>
      </c>
      <c r="C924" s="315">
        <v>43251</v>
      </c>
      <c r="D924" s="314">
        <v>43555</v>
      </c>
      <c r="E924" s="351">
        <v>60</v>
      </c>
      <c r="F924" s="138"/>
      <c r="G924" s="138">
        <v>40581.96</v>
      </c>
      <c r="H924" s="241"/>
      <c r="I924" s="138">
        <v>40581.96</v>
      </c>
      <c r="J924" s="138">
        <v>40581.96</v>
      </c>
      <c r="K924" s="66"/>
      <c r="L924" s="62"/>
    </row>
    <row r="925" spans="2:12" ht="12.75" outlineLevel="1" x14ac:dyDescent="0.2">
      <c r="B925" s="68" t="s">
        <v>300</v>
      </c>
      <c r="C925" s="315">
        <v>43251</v>
      </c>
      <c r="D925" s="314">
        <v>43585</v>
      </c>
      <c r="E925" s="351">
        <v>60</v>
      </c>
      <c r="F925" s="138"/>
      <c r="G925" s="138">
        <v>10361.81</v>
      </c>
      <c r="H925" s="241"/>
      <c r="I925" s="138">
        <v>10361.81</v>
      </c>
      <c r="J925" s="138">
        <v>10361.81</v>
      </c>
      <c r="K925" s="66"/>
      <c r="L925" s="62"/>
    </row>
    <row r="926" spans="2:12" ht="12.75" outlineLevel="1" x14ac:dyDescent="0.2">
      <c r="B926" s="68" t="s">
        <v>304</v>
      </c>
      <c r="C926" s="315">
        <v>43269</v>
      </c>
      <c r="D926" s="314">
        <v>43585</v>
      </c>
      <c r="E926" s="351">
        <v>50</v>
      </c>
      <c r="F926" s="138"/>
      <c r="G926" s="138">
        <v>4039.85</v>
      </c>
      <c r="H926" s="241"/>
      <c r="I926" s="138">
        <v>4039.85</v>
      </c>
      <c r="J926" s="138">
        <v>4039.85</v>
      </c>
      <c r="K926" s="66"/>
      <c r="L926" s="62"/>
    </row>
    <row r="927" spans="2:12" ht="12.75" outlineLevel="1" x14ac:dyDescent="0.2">
      <c r="B927" s="68" t="s">
        <v>307</v>
      </c>
      <c r="C927" s="315">
        <v>43269</v>
      </c>
      <c r="D927" s="314">
        <v>43616</v>
      </c>
      <c r="E927" s="351">
        <v>50</v>
      </c>
      <c r="F927" s="138"/>
      <c r="G927" s="138">
        <v>3770.97</v>
      </c>
      <c r="H927" s="241"/>
      <c r="I927" s="138">
        <v>3770.97</v>
      </c>
      <c r="J927" s="138">
        <v>3770.97</v>
      </c>
      <c r="K927" s="66"/>
      <c r="L927" s="62"/>
    </row>
    <row r="928" spans="2:12" ht="24" outlineLevel="1" x14ac:dyDescent="0.2">
      <c r="B928" s="68" t="s">
        <v>312</v>
      </c>
      <c r="C928" s="315">
        <v>43271</v>
      </c>
      <c r="D928" s="314">
        <v>43554</v>
      </c>
      <c r="E928" s="351">
        <v>40</v>
      </c>
      <c r="F928" s="138"/>
      <c r="G928" s="138">
        <v>5390.7</v>
      </c>
      <c r="H928" s="241"/>
      <c r="I928" s="138">
        <v>5390.7</v>
      </c>
      <c r="J928" s="138">
        <v>5390.7</v>
      </c>
      <c r="K928" s="66"/>
      <c r="L928" s="62"/>
    </row>
    <row r="929" spans="2:12" ht="12.75" outlineLevel="1" x14ac:dyDescent="0.2">
      <c r="B929" s="68" t="s">
        <v>310</v>
      </c>
      <c r="C929" s="315">
        <v>43272</v>
      </c>
      <c r="D929" s="314">
        <v>43616</v>
      </c>
      <c r="E929" s="351">
        <v>20</v>
      </c>
      <c r="F929" s="138"/>
      <c r="G929" s="138">
        <v>3005.83</v>
      </c>
      <c r="H929" s="241"/>
      <c r="I929" s="138">
        <v>3005.83</v>
      </c>
      <c r="J929" s="138">
        <v>3005.83</v>
      </c>
      <c r="K929" s="66"/>
      <c r="L929" s="62"/>
    </row>
    <row r="930" spans="2:12" ht="12.75" outlineLevel="1" x14ac:dyDescent="0.2">
      <c r="B930" s="68" t="s">
        <v>313</v>
      </c>
      <c r="C930" s="315">
        <v>43276</v>
      </c>
      <c r="D930" s="314">
        <v>43585</v>
      </c>
      <c r="E930" s="351">
        <v>40</v>
      </c>
      <c r="F930" s="138"/>
      <c r="G930" s="138">
        <v>6772.18</v>
      </c>
      <c r="H930" s="241"/>
      <c r="I930" s="138">
        <v>6772.18</v>
      </c>
      <c r="J930" s="138">
        <v>6772.18</v>
      </c>
      <c r="K930" s="66"/>
      <c r="L930" s="62"/>
    </row>
    <row r="931" spans="2:12" ht="12.75" outlineLevel="1" x14ac:dyDescent="0.2">
      <c r="B931" s="68" t="s">
        <v>303</v>
      </c>
      <c r="C931" s="315">
        <v>43276</v>
      </c>
      <c r="D931" s="314">
        <v>43524</v>
      </c>
      <c r="E931" s="351">
        <v>60</v>
      </c>
      <c r="F931" s="138"/>
      <c r="G931" s="138">
        <v>6102.67</v>
      </c>
      <c r="H931" s="241"/>
      <c r="I931" s="138">
        <v>6102.67</v>
      </c>
      <c r="J931" s="138">
        <v>6102.67</v>
      </c>
      <c r="K931" s="66"/>
      <c r="L931" s="62"/>
    </row>
    <row r="932" spans="2:12" ht="24" outlineLevel="1" x14ac:dyDescent="0.2">
      <c r="B932" s="68" t="s">
        <v>297</v>
      </c>
      <c r="C932" s="315">
        <v>43276</v>
      </c>
      <c r="D932" s="314">
        <v>43616</v>
      </c>
      <c r="E932" s="351">
        <v>30</v>
      </c>
      <c r="F932" s="138"/>
      <c r="G932" s="138">
        <v>16235.85</v>
      </c>
      <c r="H932" s="241"/>
      <c r="I932" s="138">
        <v>16235.85</v>
      </c>
      <c r="J932" s="138">
        <v>16235.85</v>
      </c>
      <c r="K932" s="66"/>
      <c r="L932" s="62"/>
    </row>
    <row r="933" spans="2:12" ht="24" outlineLevel="1" x14ac:dyDescent="0.2">
      <c r="B933" s="68" t="s">
        <v>404</v>
      </c>
      <c r="C933" s="315">
        <v>43291</v>
      </c>
      <c r="D933" s="314">
        <v>43554</v>
      </c>
      <c r="E933" s="351">
        <v>70</v>
      </c>
      <c r="F933" s="138"/>
      <c r="G933" s="138">
        <v>3618.59</v>
      </c>
      <c r="H933" s="241"/>
      <c r="I933" s="138">
        <v>3618.59</v>
      </c>
      <c r="J933" s="138">
        <v>3618.59</v>
      </c>
      <c r="K933" s="66"/>
      <c r="L933" s="62"/>
    </row>
    <row r="934" spans="2:12" ht="12.75" outlineLevel="1" x14ac:dyDescent="0.2">
      <c r="B934" s="68" t="s">
        <v>405</v>
      </c>
      <c r="C934" s="315">
        <v>43299</v>
      </c>
      <c r="D934" s="314">
        <v>43496</v>
      </c>
      <c r="E934" s="351">
        <v>90</v>
      </c>
      <c r="F934" s="138"/>
      <c r="G934" s="138">
        <v>4452.1000000000004</v>
      </c>
      <c r="H934" s="241"/>
      <c r="I934" s="138">
        <v>4452.1000000000004</v>
      </c>
      <c r="J934" s="138">
        <v>4452.1000000000004</v>
      </c>
      <c r="K934" s="66"/>
      <c r="L934" s="62"/>
    </row>
    <row r="935" spans="2:12" ht="12.75" outlineLevel="1" x14ac:dyDescent="0.2">
      <c r="B935" s="68" t="s">
        <v>406</v>
      </c>
      <c r="C935" s="315">
        <v>43311</v>
      </c>
      <c r="D935" s="314">
        <v>43555</v>
      </c>
      <c r="E935" s="351">
        <v>80</v>
      </c>
      <c r="F935" s="138"/>
      <c r="G935" s="138">
        <v>27442.68</v>
      </c>
      <c r="H935" s="241"/>
      <c r="I935" s="138">
        <v>27442.68</v>
      </c>
      <c r="J935" s="138">
        <v>27442.68</v>
      </c>
      <c r="K935" s="66"/>
      <c r="L935" s="62"/>
    </row>
    <row r="936" spans="2:12" ht="24" outlineLevel="1" x14ac:dyDescent="0.2">
      <c r="B936" s="68" t="s">
        <v>407</v>
      </c>
      <c r="C936" s="315">
        <v>43313</v>
      </c>
      <c r="D936" s="314">
        <v>43585</v>
      </c>
      <c r="E936" s="351">
        <v>40</v>
      </c>
      <c r="F936" s="138"/>
      <c r="G936" s="138">
        <v>13268.98</v>
      </c>
      <c r="H936" s="241"/>
      <c r="I936" s="138">
        <v>13268.98</v>
      </c>
      <c r="J936" s="138">
        <v>13268.98</v>
      </c>
      <c r="K936" s="66"/>
      <c r="L936" s="62"/>
    </row>
    <row r="937" spans="2:12" ht="24" outlineLevel="1" x14ac:dyDescent="0.2">
      <c r="B937" s="68" t="s">
        <v>408</v>
      </c>
      <c r="C937" s="315">
        <v>43314</v>
      </c>
      <c r="D937" s="314">
        <v>43524</v>
      </c>
      <c r="E937" s="351">
        <v>80</v>
      </c>
      <c r="F937" s="138"/>
      <c r="G937" s="138">
        <v>32655.87</v>
      </c>
      <c r="H937" s="241"/>
      <c r="I937" s="138">
        <v>32655.87</v>
      </c>
      <c r="J937" s="138">
        <v>32655.87</v>
      </c>
      <c r="K937" s="66"/>
      <c r="L937" s="62"/>
    </row>
    <row r="938" spans="2:12" ht="12.75" outlineLevel="1" x14ac:dyDescent="0.2">
      <c r="B938" s="68" t="s">
        <v>409</v>
      </c>
      <c r="C938" s="315">
        <v>43315</v>
      </c>
      <c r="D938" s="314">
        <v>43616</v>
      </c>
      <c r="E938" s="351">
        <v>30</v>
      </c>
      <c r="F938" s="138"/>
      <c r="G938" s="138">
        <v>9845.69</v>
      </c>
      <c r="H938" s="241"/>
      <c r="I938" s="138">
        <v>9845.69</v>
      </c>
      <c r="J938" s="138">
        <v>9845.69</v>
      </c>
      <c r="K938" s="66"/>
      <c r="L938" s="62"/>
    </row>
    <row r="939" spans="2:12" ht="12.75" outlineLevel="1" x14ac:dyDescent="0.2">
      <c r="B939" s="68" t="s">
        <v>410</v>
      </c>
      <c r="C939" s="315">
        <v>43315</v>
      </c>
      <c r="D939" s="314">
        <v>43616</v>
      </c>
      <c r="E939" s="351">
        <v>30</v>
      </c>
      <c r="F939" s="138"/>
      <c r="G939" s="138">
        <v>12273.98</v>
      </c>
      <c r="H939" s="241"/>
      <c r="I939" s="138">
        <v>12273.98</v>
      </c>
      <c r="J939" s="138">
        <v>12273.98</v>
      </c>
      <c r="K939" s="66"/>
      <c r="L939" s="62"/>
    </row>
    <row r="940" spans="2:12" ht="12.75" outlineLevel="1" x14ac:dyDescent="0.2">
      <c r="B940" s="68" t="s">
        <v>411</v>
      </c>
      <c r="C940" s="315">
        <v>43330</v>
      </c>
      <c r="D940" s="314">
        <v>43646</v>
      </c>
      <c r="E940" s="351">
        <v>20</v>
      </c>
      <c r="F940" s="138"/>
      <c r="G940" s="138">
        <v>4310.6400000000003</v>
      </c>
      <c r="H940" s="241"/>
      <c r="I940" s="138">
        <v>4310.6400000000003</v>
      </c>
      <c r="J940" s="138">
        <v>4310.6400000000003</v>
      </c>
      <c r="K940" s="66"/>
      <c r="L940" s="62"/>
    </row>
    <row r="941" spans="2:12" ht="24" outlineLevel="1" x14ac:dyDescent="0.2">
      <c r="B941" s="68" t="s">
        <v>412</v>
      </c>
      <c r="C941" s="315">
        <v>43332</v>
      </c>
      <c r="D941" s="314">
        <v>43555</v>
      </c>
      <c r="E941" s="351">
        <v>50</v>
      </c>
      <c r="F941" s="138"/>
      <c r="G941" s="138">
        <v>6228.02</v>
      </c>
      <c r="H941" s="241"/>
      <c r="I941" s="138">
        <v>6228.02</v>
      </c>
      <c r="J941" s="138">
        <v>6228.02</v>
      </c>
      <c r="K941" s="66"/>
      <c r="L941" s="62"/>
    </row>
    <row r="942" spans="2:12" ht="12.75" outlineLevel="1" x14ac:dyDescent="0.2">
      <c r="B942" s="68" t="s">
        <v>413</v>
      </c>
      <c r="C942" s="315">
        <v>43335</v>
      </c>
      <c r="D942" s="314">
        <v>43496</v>
      </c>
      <c r="E942" s="351">
        <v>90</v>
      </c>
      <c r="F942" s="138"/>
      <c r="G942" s="138">
        <v>2284.31</v>
      </c>
      <c r="H942" s="241"/>
      <c r="I942" s="138">
        <v>2284.31</v>
      </c>
      <c r="J942" s="138">
        <v>2284.31</v>
      </c>
      <c r="K942" s="66"/>
      <c r="L942" s="62"/>
    </row>
    <row r="943" spans="2:12" ht="24" outlineLevel="1" x14ac:dyDescent="0.2">
      <c r="B943" s="68" t="s">
        <v>414</v>
      </c>
      <c r="C943" s="315">
        <v>43343</v>
      </c>
      <c r="D943" s="314">
        <v>43616</v>
      </c>
      <c r="E943" s="351">
        <v>30</v>
      </c>
      <c r="F943" s="138"/>
      <c r="G943" s="138">
        <v>4781.17</v>
      </c>
      <c r="H943" s="241"/>
      <c r="I943" s="138">
        <v>4781.17</v>
      </c>
      <c r="J943" s="138">
        <v>4781.17</v>
      </c>
      <c r="K943" s="66"/>
      <c r="L943" s="62"/>
    </row>
    <row r="944" spans="2:12" ht="12.75" outlineLevel="1" x14ac:dyDescent="0.2">
      <c r="B944" s="68" t="s">
        <v>415</v>
      </c>
      <c r="C944" s="315">
        <v>43343</v>
      </c>
      <c r="D944" s="314">
        <v>43646</v>
      </c>
      <c r="E944" s="351">
        <v>20</v>
      </c>
      <c r="F944" s="138"/>
      <c r="G944" s="138">
        <v>2326.48</v>
      </c>
      <c r="H944" s="241"/>
      <c r="I944" s="138">
        <v>2326.48</v>
      </c>
      <c r="J944" s="138">
        <v>2326.48</v>
      </c>
      <c r="K944" s="66"/>
      <c r="L944" s="62"/>
    </row>
    <row r="945" spans="2:12" ht="12.75" outlineLevel="1" x14ac:dyDescent="0.2">
      <c r="B945" s="68" t="s">
        <v>416</v>
      </c>
      <c r="C945" s="315">
        <v>43346</v>
      </c>
      <c r="D945" s="314">
        <v>43616</v>
      </c>
      <c r="E945" s="351">
        <v>70</v>
      </c>
      <c r="F945" s="138"/>
      <c r="G945" s="138">
        <v>20094.509999999998</v>
      </c>
      <c r="H945" s="241"/>
      <c r="I945" s="138">
        <v>20094.509999999998</v>
      </c>
      <c r="J945" s="138">
        <v>20094.509999999998</v>
      </c>
      <c r="K945" s="66"/>
      <c r="L945" s="62"/>
    </row>
    <row r="946" spans="2:12" ht="12.75" outlineLevel="1" x14ac:dyDescent="0.2">
      <c r="B946" s="68" t="s">
        <v>417</v>
      </c>
      <c r="C946" s="315">
        <v>43346</v>
      </c>
      <c r="D946" s="314">
        <v>43555</v>
      </c>
      <c r="E946" s="351">
        <v>30</v>
      </c>
      <c r="F946" s="138"/>
      <c r="G946" s="138">
        <v>13941.88</v>
      </c>
      <c r="H946" s="241"/>
      <c r="I946" s="138">
        <v>13941.88</v>
      </c>
      <c r="J946" s="138">
        <v>13941.88</v>
      </c>
      <c r="K946" s="66"/>
      <c r="L946" s="62"/>
    </row>
    <row r="947" spans="2:12" ht="12.75" outlineLevel="1" x14ac:dyDescent="0.2">
      <c r="B947" s="68" t="s">
        <v>418</v>
      </c>
      <c r="C947" s="315">
        <v>43349</v>
      </c>
      <c r="D947" s="314">
        <v>43585</v>
      </c>
      <c r="E947" s="351">
        <v>40</v>
      </c>
      <c r="F947" s="138"/>
      <c r="G947" s="138">
        <v>9125.34</v>
      </c>
      <c r="H947" s="241"/>
      <c r="I947" s="138">
        <v>9125.34</v>
      </c>
      <c r="J947" s="138">
        <v>9125.34</v>
      </c>
      <c r="K947" s="66"/>
      <c r="L947" s="62"/>
    </row>
    <row r="948" spans="2:12" ht="24" outlineLevel="1" x14ac:dyDescent="0.2">
      <c r="B948" s="68" t="s">
        <v>419</v>
      </c>
      <c r="C948" s="315">
        <v>43349</v>
      </c>
      <c r="D948" s="314">
        <v>43585</v>
      </c>
      <c r="E948" s="351">
        <v>30</v>
      </c>
      <c r="F948" s="138"/>
      <c r="G948" s="138">
        <v>5987.21</v>
      </c>
      <c r="H948" s="241"/>
      <c r="I948" s="138">
        <v>5987.21</v>
      </c>
      <c r="J948" s="138">
        <v>5987.21</v>
      </c>
      <c r="K948" s="66"/>
      <c r="L948" s="62"/>
    </row>
    <row r="949" spans="2:12" ht="12.75" outlineLevel="1" x14ac:dyDescent="0.2">
      <c r="B949" s="68" t="s">
        <v>420</v>
      </c>
      <c r="C949" s="315">
        <v>43350</v>
      </c>
      <c r="D949" s="314">
        <v>43524</v>
      </c>
      <c r="E949" s="351">
        <v>90</v>
      </c>
      <c r="F949" s="138"/>
      <c r="G949" s="138">
        <v>3448.14</v>
      </c>
      <c r="H949" s="241"/>
      <c r="I949" s="138">
        <v>3448.14</v>
      </c>
      <c r="J949" s="138">
        <v>3448.14</v>
      </c>
      <c r="K949" s="66"/>
      <c r="L949" s="62"/>
    </row>
    <row r="950" spans="2:12" ht="24" outlineLevel="1" x14ac:dyDescent="0.2">
      <c r="B950" s="68" t="s">
        <v>421</v>
      </c>
      <c r="C950" s="315">
        <v>43341</v>
      </c>
      <c r="D950" s="314">
        <v>43616</v>
      </c>
      <c r="E950" s="351">
        <v>40</v>
      </c>
      <c r="F950" s="138"/>
      <c r="G950" s="138">
        <v>10545.8</v>
      </c>
      <c r="H950" s="241"/>
      <c r="I950" s="138">
        <v>10545.8</v>
      </c>
      <c r="J950" s="138">
        <v>10545.8</v>
      </c>
      <c r="K950" s="66"/>
      <c r="L950" s="62"/>
    </row>
    <row r="951" spans="2:12" ht="24" outlineLevel="1" x14ac:dyDescent="0.2">
      <c r="B951" s="68" t="s">
        <v>422</v>
      </c>
      <c r="C951" s="315">
        <v>43341</v>
      </c>
      <c r="D951" s="314">
        <v>43616</v>
      </c>
      <c r="E951" s="351">
        <v>40</v>
      </c>
      <c r="F951" s="138"/>
      <c r="G951" s="138">
        <v>37566.15</v>
      </c>
      <c r="H951" s="241"/>
      <c r="I951" s="138">
        <v>37566.15</v>
      </c>
      <c r="J951" s="138">
        <v>37566.15</v>
      </c>
      <c r="K951" s="66"/>
      <c r="L951" s="62"/>
    </row>
    <row r="952" spans="2:12" ht="24" outlineLevel="1" x14ac:dyDescent="0.2">
      <c r="B952" s="68" t="s">
        <v>423</v>
      </c>
      <c r="C952" s="315">
        <v>41149</v>
      </c>
      <c r="D952" s="314">
        <v>43646</v>
      </c>
      <c r="E952" s="351">
        <v>20</v>
      </c>
      <c r="F952" s="138"/>
      <c r="G952" s="138">
        <v>75595.5</v>
      </c>
      <c r="H952" s="241"/>
      <c r="I952" s="138">
        <v>75595.5</v>
      </c>
      <c r="J952" s="138">
        <v>75595.5</v>
      </c>
      <c r="K952" s="66"/>
      <c r="L952" s="62"/>
    </row>
    <row r="953" spans="2:12" ht="12.75" outlineLevel="1" x14ac:dyDescent="0.2">
      <c r="B953" s="68" t="s">
        <v>895</v>
      </c>
      <c r="C953" s="315">
        <v>43444</v>
      </c>
      <c r="D953" s="314">
        <v>43555</v>
      </c>
      <c r="E953" s="351">
        <v>30</v>
      </c>
      <c r="F953" s="138"/>
      <c r="G953" s="138">
        <v>5275.49</v>
      </c>
      <c r="H953" s="241"/>
      <c r="I953" s="138">
        <v>5275.49</v>
      </c>
      <c r="J953" s="138">
        <v>5275.49</v>
      </c>
      <c r="K953" s="66"/>
      <c r="L953" s="62"/>
    </row>
    <row r="954" spans="2:12" ht="12.75" outlineLevel="1" x14ac:dyDescent="0.2">
      <c r="B954" s="68" t="s">
        <v>896</v>
      </c>
      <c r="C954" s="315">
        <v>43405</v>
      </c>
      <c r="D954" s="314">
        <v>43585</v>
      </c>
      <c r="E954" s="351">
        <v>30</v>
      </c>
      <c r="F954" s="138"/>
      <c r="G954" s="138">
        <v>4443.45</v>
      </c>
      <c r="H954" s="241"/>
      <c r="I954" s="138">
        <v>4443.45</v>
      </c>
      <c r="J954" s="138">
        <v>4443.45</v>
      </c>
      <c r="K954" s="66"/>
      <c r="L954" s="62"/>
    </row>
    <row r="955" spans="2:12" ht="12.75" outlineLevel="1" x14ac:dyDescent="0.2">
      <c r="B955" s="68" t="s">
        <v>897</v>
      </c>
      <c r="C955" s="315">
        <v>43406</v>
      </c>
      <c r="D955" s="314">
        <v>43616</v>
      </c>
      <c r="E955" s="351">
        <v>20</v>
      </c>
      <c r="F955" s="138"/>
      <c r="G955" s="138">
        <v>6887.92</v>
      </c>
      <c r="H955" s="241"/>
      <c r="I955" s="138">
        <v>6887.92</v>
      </c>
      <c r="J955" s="138">
        <v>6887.92</v>
      </c>
      <c r="K955" s="66"/>
      <c r="L955" s="62"/>
    </row>
    <row r="956" spans="2:12" ht="24" outlineLevel="1" x14ac:dyDescent="0.2">
      <c r="B956" s="68" t="s">
        <v>898</v>
      </c>
      <c r="C956" s="315">
        <v>43413</v>
      </c>
      <c r="D956" s="314">
        <v>43646</v>
      </c>
      <c r="E956" s="351">
        <v>20</v>
      </c>
      <c r="F956" s="138"/>
      <c r="G956" s="138">
        <v>1611.22</v>
      </c>
      <c r="H956" s="241"/>
      <c r="I956" s="138">
        <v>1611.22</v>
      </c>
      <c r="J956" s="138">
        <v>1611.22</v>
      </c>
      <c r="K956" s="66"/>
      <c r="L956" s="62"/>
    </row>
    <row r="957" spans="2:12" ht="12.75" outlineLevel="1" x14ac:dyDescent="0.2">
      <c r="B957" s="68" t="s">
        <v>899</v>
      </c>
      <c r="C957" s="315">
        <v>43419</v>
      </c>
      <c r="D957" s="314">
        <v>43585</v>
      </c>
      <c r="E957" s="351">
        <v>30</v>
      </c>
      <c r="F957" s="138"/>
      <c r="G957" s="138">
        <v>1119.1099999999999</v>
      </c>
      <c r="H957" s="241"/>
      <c r="I957" s="138">
        <v>1119.1099999999999</v>
      </c>
      <c r="J957" s="138">
        <v>1119.1099999999999</v>
      </c>
      <c r="K957" s="66"/>
      <c r="L957" s="62"/>
    </row>
    <row r="958" spans="2:12" ht="12.75" outlineLevel="1" x14ac:dyDescent="0.2">
      <c r="B958" s="68" t="s">
        <v>900</v>
      </c>
      <c r="C958" s="315">
        <v>43420</v>
      </c>
      <c r="D958" s="314">
        <v>43524</v>
      </c>
      <c r="E958" s="351">
        <v>60</v>
      </c>
      <c r="F958" s="138"/>
      <c r="G958" s="138">
        <v>7184.28</v>
      </c>
      <c r="H958" s="241"/>
      <c r="I958" s="138">
        <v>7184.28</v>
      </c>
      <c r="J958" s="138">
        <v>7184.28</v>
      </c>
      <c r="K958" s="66"/>
      <c r="L958" s="62"/>
    </row>
    <row r="959" spans="2:12" ht="12.75" outlineLevel="1" x14ac:dyDescent="0.2">
      <c r="B959" s="68" t="s">
        <v>901</v>
      </c>
      <c r="C959" s="315">
        <v>43423</v>
      </c>
      <c r="D959" s="314">
        <v>43555</v>
      </c>
      <c r="E959" s="351">
        <v>60</v>
      </c>
      <c r="F959" s="138"/>
      <c r="G959" s="138">
        <v>6061.44</v>
      </c>
      <c r="H959" s="241"/>
      <c r="I959" s="138">
        <v>6061.44</v>
      </c>
      <c r="J959" s="138">
        <v>6061.44</v>
      </c>
      <c r="K959" s="66"/>
      <c r="L959" s="62"/>
    </row>
    <row r="960" spans="2:12" ht="12.75" outlineLevel="1" x14ac:dyDescent="0.2">
      <c r="B960" s="68" t="s">
        <v>902</v>
      </c>
      <c r="C960" s="315">
        <v>43424</v>
      </c>
      <c r="D960" s="314">
        <v>43616</v>
      </c>
      <c r="E960" s="351">
        <v>30</v>
      </c>
      <c r="F960" s="138"/>
      <c r="G960" s="138">
        <v>4844.5</v>
      </c>
      <c r="H960" s="241"/>
      <c r="I960" s="138">
        <v>4844.5</v>
      </c>
      <c r="J960" s="138">
        <v>4844.5</v>
      </c>
      <c r="K960" s="66"/>
      <c r="L960" s="62"/>
    </row>
    <row r="961" spans="2:12" ht="12.75" outlineLevel="1" x14ac:dyDescent="0.2">
      <c r="B961" s="68" t="s">
        <v>903</v>
      </c>
      <c r="C961" s="315">
        <v>43425</v>
      </c>
      <c r="D961" s="314">
        <v>43646</v>
      </c>
      <c r="E961" s="351">
        <v>20</v>
      </c>
      <c r="F961" s="138"/>
      <c r="G961" s="138">
        <v>5430.84</v>
      </c>
      <c r="H961" s="241"/>
      <c r="I961" s="138">
        <v>5430.84</v>
      </c>
      <c r="J961" s="138">
        <v>5430.84</v>
      </c>
      <c r="K961" s="66"/>
      <c r="L961" s="62"/>
    </row>
    <row r="962" spans="2:12" ht="24" outlineLevel="1" x14ac:dyDescent="0.2">
      <c r="B962" s="68" t="s">
        <v>904</v>
      </c>
      <c r="C962" s="315">
        <v>43427</v>
      </c>
      <c r="D962" s="314">
        <v>43646</v>
      </c>
      <c r="E962" s="351">
        <v>10</v>
      </c>
      <c r="F962" s="138"/>
      <c r="G962" s="138">
        <v>6604.36</v>
      </c>
      <c r="H962" s="241"/>
      <c r="I962" s="138">
        <v>6604.36</v>
      </c>
      <c r="J962" s="138">
        <v>6604.36</v>
      </c>
      <c r="K962" s="66"/>
      <c r="L962" s="62"/>
    </row>
    <row r="963" spans="2:12" ht="12.75" outlineLevel="1" x14ac:dyDescent="0.2">
      <c r="B963" s="68" t="s">
        <v>905</v>
      </c>
      <c r="C963" s="315">
        <v>43427</v>
      </c>
      <c r="D963" s="314">
        <v>43555</v>
      </c>
      <c r="E963" s="351">
        <v>40</v>
      </c>
      <c r="F963" s="138"/>
      <c r="G963" s="138">
        <v>6104.22</v>
      </c>
      <c r="H963" s="241"/>
      <c r="I963" s="138">
        <v>6104.22</v>
      </c>
      <c r="J963" s="138">
        <v>6104.22</v>
      </c>
      <c r="K963" s="66"/>
      <c r="L963" s="62"/>
    </row>
    <row r="964" spans="2:12" ht="12.75" outlineLevel="1" x14ac:dyDescent="0.2">
      <c r="B964" s="68" t="s">
        <v>906</v>
      </c>
      <c r="C964" s="315">
        <v>43430</v>
      </c>
      <c r="D964" s="366">
        <v>43616</v>
      </c>
      <c r="E964" s="351">
        <v>20</v>
      </c>
      <c r="F964" s="138"/>
      <c r="G964" s="138">
        <v>45001</v>
      </c>
      <c r="H964" s="241"/>
      <c r="I964" s="138">
        <v>45001</v>
      </c>
      <c r="J964" s="138">
        <v>45001</v>
      </c>
      <c r="K964" s="66"/>
      <c r="L964" s="62"/>
    </row>
    <row r="965" spans="2:12" ht="12.75" outlineLevel="1" x14ac:dyDescent="0.2">
      <c r="B965" s="68" t="s">
        <v>907</v>
      </c>
      <c r="C965" s="315">
        <v>43419</v>
      </c>
      <c r="D965" s="315">
        <v>43555</v>
      </c>
      <c r="E965" s="351">
        <v>80</v>
      </c>
      <c r="F965" s="138"/>
      <c r="G965" s="138">
        <v>143345.29</v>
      </c>
      <c r="H965" s="241"/>
      <c r="I965" s="138">
        <v>143345.29</v>
      </c>
      <c r="J965" s="138">
        <v>143345.29</v>
      </c>
      <c r="K965" s="66"/>
      <c r="L965" s="62"/>
    </row>
    <row r="966" spans="2:12" ht="12.75" outlineLevel="1" x14ac:dyDescent="0.2">
      <c r="B966" s="68" t="s">
        <v>908</v>
      </c>
      <c r="C966" s="315">
        <v>43437</v>
      </c>
      <c r="D966" s="315">
        <v>43585</v>
      </c>
      <c r="E966" s="351">
        <v>40</v>
      </c>
      <c r="F966" s="138"/>
      <c r="G966" s="138">
        <v>17851.13</v>
      </c>
      <c r="H966" s="241"/>
      <c r="I966" s="138">
        <v>17851.13</v>
      </c>
      <c r="J966" s="138">
        <v>17851.13</v>
      </c>
      <c r="K966" s="66"/>
      <c r="L966" s="62"/>
    </row>
    <row r="967" spans="2:12" ht="24" outlineLevel="1" x14ac:dyDescent="0.2">
      <c r="B967" s="68" t="s">
        <v>909</v>
      </c>
      <c r="C967" s="315">
        <v>43444</v>
      </c>
      <c r="D967" s="315">
        <v>43555</v>
      </c>
      <c r="E967" s="351">
        <v>30</v>
      </c>
      <c r="F967" s="138"/>
      <c r="G967" s="138">
        <v>657.32</v>
      </c>
      <c r="H967" s="241"/>
      <c r="I967" s="138">
        <v>657.32</v>
      </c>
      <c r="J967" s="138">
        <v>657.32</v>
      </c>
      <c r="K967" s="66"/>
      <c r="L967" s="62"/>
    </row>
    <row r="968" spans="2:12" ht="12.75" outlineLevel="1" x14ac:dyDescent="0.2">
      <c r="B968" s="68" t="s">
        <v>910</v>
      </c>
      <c r="C968" s="315">
        <v>43444</v>
      </c>
      <c r="D968" s="315">
        <v>43646</v>
      </c>
      <c r="E968" s="351">
        <v>20</v>
      </c>
      <c r="F968" s="138"/>
      <c r="G968" s="138">
        <v>4583.38</v>
      </c>
      <c r="H968" s="241"/>
      <c r="I968" s="138">
        <v>4583.38</v>
      </c>
      <c r="J968" s="138">
        <v>4583.38</v>
      </c>
      <c r="K968" s="66"/>
      <c r="L968" s="62"/>
    </row>
    <row r="969" spans="2:12" ht="24" outlineLevel="1" x14ac:dyDescent="0.2">
      <c r="B969" s="68" t="s">
        <v>911</v>
      </c>
      <c r="C969" s="315">
        <v>43444</v>
      </c>
      <c r="D969" s="315">
        <v>43585</v>
      </c>
      <c r="E969" s="351">
        <v>20</v>
      </c>
      <c r="F969" s="138"/>
      <c r="G969" s="138">
        <v>6799.34</v>
      </c>
      <c r="H969" s="241"/>
      <c r="I969" s="138">
        <v>6799.34</v>
      </c>
      <c r="J969" s="138">
        <v>6799.34</v>
      </c>
      <c r="K969" s="66"/>
      <c r="L969" s="62"/>
    </row>
    <row r="970" spans="2:12" ht="12.75" outlineLevel="1" x14ac:dyDescent="0.2">
      <c r="B970" s="68" t="s">
        <v>912</v>
      </c>
      <c r="C970" s="315">
        <v>43444</v>
      </c>
      <c r="D970" s="315">
        <v>43616</v>
      </c>
      <c r="E970" s="351">
        <v>10</v>
      </c>
      <c r="F970" s="138"/>
      <c r="G970" s="138">
        <v>5562.5</v>
      </c>
      <c r="H970" s="241"/>
      <c r="I970" s="138">
        <v>5562.5</v>
      </c>
      <c r="J970" s="138">
        <v>5562.5</v>
      </c>
      <c r="K970" s="66"/>
      <c r="L970" s="62"/>
    </row>
    <row r="971" spans="2:12" ht="12.75" outlineLevel="1" x14ac:dyDescent="0.2">
      <c r="B971" s="68" t="s">
        <v>913</v>
      </c>
      <c r="C971" s="315">
        <v>43444</v>
      </c>
      <c r="D971" s="315">
        <v>43585</v>
      </c>
      <c r="E971" s="351">
        <v>30</v>
      </c>
      <c r="F971" s="138"/>
      <c r="G971" s="138">
        <v>7458.72</v>
      </c>
      <c r="H971" s="241"/>
      <c r="I971" s="138">
        <v>7458.72</v>
      </c>
      <c r="J971" s="138">
        <v>7458.72</v>
      </c>
      <c r="K971" s="66"/>
      <c r="L971" s="62"/>
    </row>
    <row r="972" spans="2:12" ht="12.75" outlineLevel="1" x14ac:dyDescent="0.2">
      <c r="B972" s="68" t="s">
        <v>914</v>
      </c>
      <c r="C972" s="315">
        <v>43444</v>
      </c>
      <c r="D972" s="315">
        <v>43524</v>
      </c>
      <c r="E972" s="351">
        <v>80</v>
      </c>
      <c r="F972" s="138"/>
      <c r="G972" s="138">
        <v>3540.68</v>
      </c>
      <c r="H972" s="241"/>
      <c r="I972" s="138">
        <v>3540.68</v>
      </c>
      <c r="J972" s="138">
        <v>3540.68</v>
      </c>
      <c r="K972" s="66"/>
      <c r="L972" s="62"/>
    </row>
    <row r="973" spans="2:12" ht="12.75" outlineLevel="1" x14ac:dyDescent="0.2">
      <c r="B973" s="68" t="s">
        <v>915</v>
      </c>
      <c r="C973" s="315">
        <v>43444</v>
      </c>
      <c r="D973" s="315">
        <v>43585</v>
      </c>
      <c r="E973" s="351">
        <v>40</v>
      </c>
      <c r="F973" s="138"/>
      <c r="G973" s="138">
        <v>4050.08</v>
      </c>
      <c r="H973" s="241"/>
      <c r="I973" s="138">
        <v>4050.08</v>
      </c>
      <c r="J973" s="138">
        <v>4050.08</v>
      </c>
      <c r="K973" s="66"/>
      <c r="L973" s="62"/>
    </row>
    <row r="974" spans="2:12" ht="12.75" outlineLevel="1" x14ac:dyDescent="0.2">
      <c r="B974" s="68" t="s">
        <v>916</v>
      </c>
      <c r="C974" s="315">
        <v>43445</v>
      </c>
      <c r="D974" s="315">
        <v>43616</v>
      </c>
      <c r="E974" s="351">
        <v>50</v>
      </c>
      <c r="F974" s="138"/>
      <c r="G974" s="138">
        <v>4881.55</v>
      </c>
      <c r="H974" s="241"/>
      <c r="I974" s="138">
        <v>4881.55</v>
      </c>
      <c r="J974" s="138">
        <v>4881.55</v>
      </c>
      <c r="K974" s="66"/>
      <c r="L974" s="62"/>
    </row>
    <row r="975" spans="2:12" ht="12.75" outlineLevel="1" x14ac:dyDescent="0.2">
      <c r="B975" s="68" t="s">
        <v>917</v>
      </c>
      <c r="C975" s="315">
        <v>43445</v>
      </c>
      <c r="D975" s="315">
        <v>43585</v>
      </c>
      <c r="E975" s="351">
        <v>40</v>
      </c>
      <c r="F975" s="138"/>
      <c r="G975" s="138">
        <v>950.73</v>
      </c>
      <c r="H975" s="241"/>
      <c r="I975" s="138">
        <v>950.73</v>
      </c>
      <c r="J975" s="138">
        <v>950.73</v>
      </c>
      <c r="K975" s="66"/>
      <c r="L975" s="62"/>
    </row>
    <row r="976" spans="2:12" ht="12.75" outlineLevel="1" x14ac:dyDescent="0.2">
      <c r="B976" s="68" t="s">
        <v>918</v>
      </c>
      <c r="C976" s="315">
        <v>43446</v>
      </c>
      <c r="D976" s="315">
        <v>43616</v>
      </c>
      <c r="E976" s="351">
        <v>30</v>
      </c>
      <c r="F976" s="138"/>
      <c r="G976" s="138">
        <v>4588.13</v>
      </c>
      <c r="H976" s="241"/>
      <c r="I976" s="138">
        <v>4588.13</v>
      </c>
      <c r="J976" s="138">
        <v>4588.13</v>
      </c>
      <c r="K976" s="66"/>
      <c r="L976" s="62"/>
    </row>
    <row r="977" spans="2:12" ht="12.75" outlineLevel="1" x14ac:dyDescent="0.2">
      <c r="B977" s="68" t="s">
        <v>919</v>
      </c>
      <c r="C977" s="315">
        <v>43448</v>
      </c>
      <c r="D977" s="315">
        <v>43585</v>
      </c>
      <c r="E977" s="351">
        <v>40</v>
      </c>
      <c r="F977" s="138"/>
      <c r="G977" s="138">
        <v>9800.84</v>
      </c>
      <c r="H977" s="241"/>
      <c r="I977" s="138">
        <v>9800.84</v>
      </c>
      <c r="J977" s="138">
        <v>9800.84</v>
      </c>
      <c r="K977" s="66"/>
      <c r="L977" s="62"/>
    </row>
    <row r="978" spans="2:12" ht="12.75" outlineLevel="1" x14ac:dyDescent="0.2">
      <c r="B978" s="68" t="s">
        <v>920</v>
      </c>
      <c r="C978" s="315">
        <v>43448</v>
      </c>
      <c r="D978" s="315">
        <v>43585</v>
      </c>
      <c r="E978" s="351">
        <v>40</v>
      </c>
      <c r="F978" s="138"/>
      <c r="G978" s="138">
        <v>5271.38</v>
      </c>
      <c r="H978" s="241"/>
      <c r="I978" s="138">
        <v>5271.38</v>
      </c>
      <c r="J978" s="138">
        <v>5271.38</v>
      </c>
      <c r="K978" s="66"/>
      <c r="L978" s="62"/>
    </row>
    <row r="979" spans="2:12" ht="12.75" outlineLevel="1" x14ac:dyDescent="0.2">
      <c r="B979" s="68" t="s">
        <v>921</v>
      </c>
      <c r="C979" s="315">
        <v>43448</v>
      </c>
      <c r="D979" s="315">
        <v>43555</v>
      </c>
      <c r="E979" s="351">
        <v>60</v>
      </c>
      <c r="F979" s="138"/>
      <c r="G979" s="138">
        <v>11137.39</v>
      </c>
      <c r="H979" s="241"/>
      <c r="I979" s="138">
        <v>11137.39</v>
      </c>
      <c r="J979" s="138">
        <v>11137.39</v>
      </c>
      <c r="K979" s="66"/>
      <c r="L979" s="62"/>
    </row>
    <row r="980" spans="2:12" ht="24" outlineLevel="1" x14ac:dyDescent="0.2">
      <c r="B980" s="68" t="s">
        <v>922</v>
      </c>
      <c r="C980" s="315">
        <v>43448</v>
      </c>
      <c r="D980" s="315">
        <v>43616</v>
      </c>
      <c r="E980" s="351">
        <v>30</v>
      </c>
      <c r="F980" s="138"/>
      <c r="G980" s="138">
        <v>3914.07</v>
      </c>
      <c r="H980" s="241"/>
      <c r="I980" s="138">
        <v>3914.07</v>
      </c>
      <c r="J980" s="138">
        <v>3914.07</v>
      </c>
      <c r="K980" s="66"/>
      <c r="L980" s="62"/>
    </row>
    <row r="981" spans="2:12" ht="12.75" outlineLevel="1" x14ac:dyDescent="0.2">
      <c r="B981" s="68" t="s">
        <v>923</v>
      </c>
      <c r="C981" s="315">
        <v>43451</v>
      </c>
      <c r="D981" s="315">
        <v>43646</v>
      </c>
      <c r="E981" s="351">
        <v>20</v>
      </c>
      <c r="F981" s="138"/>
      <c r="G981" s="138">
        <v>6069.38</v>
      </c>
      <c r="H981" s="241"/>
      <c r="I981" s="138">
        <v>6069.38</v>
      </c>
      <c r="J981" s="138">
        <v>6069.38</v>
      </c>
      <c r="K981" s="66"/>
      <c r="L981" s="62"/>
    </row>
    <row r="982" spans="2:12" ht="12.75" outlineLevel="1" x14ac:dyDescent="0.2">
      <c r="B982" s="68" t="s">
        <v>424</v>
      </c>
      <c r="C982" s="315">
        <v>43356</v>
      </c>
      <c r="D982" s="315">
        <v>43555</v>
      </c>
      <c r="E982" s="351">
        <v>50</v>
      </c>
      <c r="F982" s="138"/>
      <c r="G982" s="138">
        <v>4530.95</v>
      </c>
      <c r="H982" s="241"/>
      <c r="I982" s="138">
        <v>4530.95</v>
      </c>
      <c r="J982" s="138">
        <v>4530.95</v>
      </c>
      <c r="K982" s="66"/>
      <c r="L982" s="62"/>
    </row>
    <row r="983" spans="2:12" ht="12.75" outlineLevel="1" x14ac:dyDescent="0.2">
      <c r="B983" s="68" t="s">
        <v>425</v>
      </c>
      <c r="C983" s="315">
        <v>43368</v>
      </c>
      <c r="D983" s="315">
        <v>43616</v>
      </c>
      <c r="E983" s="351">
        <v>30</v>
      </c>
      <c r="F983" s="138"/>
      <c r="G983" s="138">
        <v>3997.84</v>
      </c>
      <c r="H983" s="241"/>
      <c r="I983" s="138">
        <v>3997.84</v>
      </c>
      <c r="J983" s="138">
        <v>3997.84</v>
      </c>
      <c r="K983" s="66"/>
      <c r="L983" s="62"/>
    </row>
    <row r="984" spans="2:12" ht="24" outlineLevel="1" x14ac:dyDescent="0.2">
      <c r="B984" s="68" t="s">
        <v>426</v>
      </c>
      <c r="C984" s="315">
        <v>43368</v>
      </c>
      <c r="D984" s="315">
        <v>43585</v>
      </c>
      <c r="E984" s="351">
        <v>40</v>
      </c>
      <c r="F984" s="138"/>
      <c r="G984" s="138">
        <v>5062.17</v>
      </c>
      <c r="H984" s="241"/>
      <c r="I984" s="138">
        <v>5062.17</v>
      </c>
      <c r="J984" s="138">
        <v>5062.17</v>
      </c>
      <c r="K984" s="66"/>
      <c r="L984" s="62"/>
    </row>
    <row r="985" spans="2:12" ht="12.75" outlineLevel="1" x14ac:dyDescent="0.2">
      <c r="B985" s="68" t="s">
        <v>427</v>
      </c>
      <c r="C985" s="315">
        <v>43371</v>
      </c>
      <c r="D985" s="315">
        <v>43646</v>
      </c>
      <c r="E985" s="351">
        <v>20</v>
      </c>
      <c r="F985" s="138"/>
      <c r="G985" s="138">
        <v>3742.18</v>
      </c>
      <c r="H985" s="241"/>
      <c r="I985" s="138">
        <v>3742.18</v>
      </c>
      <c r="J985" s="138">
        <v>3742.18</v>
      </c>
      <c r="K985" s="66"/>
      <c r="L985" s="62"/>
    </row>
    <row r="986" spans="2:12" ht="12.75" outlineLevel="1" x14ac:dyDescent="0.2">
      <c r="B986" s="68" t="s">
        <v>428</v>
      </c>
      <c r="C986" s="315">
        <v>43371</v>
      </c>
      <c r="D986" s="315">
        <v>43616</v>
      </c>
      <c r="E986" s="351">
        <v>25</v>
      </c>
      <c r="F986" s="138"/>
      <c r="G986" s="138">
        <v>6900.65</v>
      </c>
      <c r="H986" s="241"/>
      <c r="I986" s="138">
        <v>6900.65</v>
      </c>
      <c r="J986" s="138">
        <v>6900.65</v>
      </c>
      <c r="K986" s="66"/>
      <c r="L986" s="62"/>
    </row>
    <row r="987" spans="2:12" ht="12.75" outlineLevel="1" x14ac:dyDescent="0.2">
      <c r="B987" s="68" t="s">
        <v>429</v>
      </c>
      <c r="C987" s="315">
        <v>43371</v>
      </c>
      <c r="D987" s="315">
        <v>43616</v>
      </c>
      <c r="E987" s="351">
        <v>30</v>
      </c>
      <c r="F987" s="138"/>
      <c r="G987" s="138">
        <v>8301.64</v>
      </c>
      <c r="H987" s="241"/>
      <c r="I987" s="138">
        <v>8301.64</v>
      </c>
      <c r="J987" s="138">
        <v>8301.64</v>
      </c>
      <c r="K987" s="66"/>
      <c r="L987" s="62"/>
    </row>
    <row r="988" spans="2:12" ht="12.75" outlineLevel="1" x14ac:dyDescent="0.2">
      <c r="B988" s="68" t="s">
        <v>430</v>
      </c>
      <c r="C988" s="315">
        <v>43371</v>
      </c>
      <c r="D988" s="315">
        <v>43646</v>
      </c>
      <c r="E988" s="351">
        <v>20</v>
      </c>
      <c r="F988" s="138"/>
      <c r="G988" s="138">
        <v>2903.09</v>
      </c>
      <c r="H988" s="241"/>
      <c r="I988" s="138">
        <v>2903.09</v>
      </c>
      <c r="J988" s="138">
        <v>2903.09</v>
      </c>
      <c r="K988" s="66"/>
      <c r="L988" s="62"/>
    </row>
    <row r="989" spans="2:12" ht="12.75" outlineLevel="1" x14ac:dyDescent="0.2">
      <c r="B989" s="68" t="s">
        <v>431</v>
      </c>
      <c r="C989" s="315">
        <v>43371</v>
      </c>
      <c r="D989" s="315">
        <v>43616</v>
      </c>
      <c r="E989" s="351">
        <v>30</v>
      </c>
      <c r="F989" s="138"/>
      <c r="G989" s="138">
        <v>4165.82</v>
      </c>
      <c r="H989" s="241"/>
      <c r="I989" s="138">
        <v>4165.82</v>
      </c>
      <c r="J989" s="138">
        <v>4165.82</v>
      </c>
      <c r="K989" s="66"/>
      <c r="L989" s="62"/>
    </row>
    <row r="990" spans="2:12" ht="24" outlineLevel="1" x14ac:dyDescent="0.2">
      <c r="B990" s="68" t="s">
        <v>432</v>
      </c>
      <c r="C990" s="315">
        <v>43354</v>
      </c>
      <c r="D990" s="315">
        <v>43585</v>
      </c>
      <c r="E990" s="351">
        <v>40</v>
      </c>
      <c r="F990" s="138"/>
      <c r="G990" s="138">
        <v>18011.03</v>
      </c>
      <c r="H990" s="241"/>
      <c r="I990" s="138">
        <v>18011.03</v>
      </c>
      <c r="J990" s="138">
        <v>18011.03</v>
      </c>
      <c r="K990" s="66"/>
      <c r="L990" s="62"/>
    </row>
    <row r="991" spans="2:12" ht="12.75" outlineLevel="1" x14ac:dyDescent="0.2">
      <c r="B991" s="68" t="s">
        <v>433</v>
      </c>
      <c r="C991" s="315">
        <v>43353</v>
      </c>
      <c r="D991" s="315">
        <v>43585</v>
      </c>
      <c r="E991" s="351">
        <v>40</v>
      </c>
      <c r="F991" s="138"/>
      <c r="G991" s="138">
        <v>13828.6</v>
      </c>
      <c r="H991" s="241"/>
      <c r="I991" s="138">
        <v>13828.6</v>
      </c>
      <c r="J991" s="138">
        <v>13828.6</v>
      </c>
      <c r="K991" s="66"/>
      <c r="L991" s="62"/>
    </row>
    <row r="992" spans="2:12" ht="24" outlineLevel="1" x14ac:dyDescent="0.2">
      <c r="B992" s="68" t="s">
        <v>924</v>
      </c>
      <c r="C992" s="315">
        <v>43357</v>
      </c>
      <c r="D992" s="315">
        <v>43585</v>
      </c>
      <c r="E992" s="351">
        <v>40</v>
      </c>
      <c r="F992" s="138"/>
      <c r="G992" s="138">
        <v>21066.53</v>
      </c>
      <c r="H992" s="241"/>
      <c r="I992" s="138">
        <v>21066.53</v>
      </c>
      <c r="J992" s="138">
        <v>21066.53</v>
      </c>
      <c r="K992" s="66"/>
      <c r="L992" s="62"/>
    </row>
    <row r="993" spans="2:12" ht="24" outlineLevel="1" x14ac:dyDescent="0.2">
      <c r="B993" s="68" t="s">
        <v>434</v>
      </c>
      <c r="C993" s="315">
        <v>43371</v>
      </c>
      <c r="D993" s="315">
        <v>43616</v>
      </c>
      <c r="E993" s="351">
        <v>40</v>
      </c>
      <c r="F993" s="138"/>
      <c r="G993" s="138">
        <v>6332.14</v>
      </c>
      <c r="H993" s="241"/>
      <c r="I993" s="138">
        <v>6332.14</v>
      </c>
      <c r="J993" s="138">
        <v>6332.14</v>
      </c>
      <c r="K993" s="66"/>
      <c r="L993" s="62"/>
    </row>
    <row r="994" spans="2:12" ht="12.75" outlineLevel="1" x14ac:dyDescent="0.2">
      <c r="B994" s="68" t="s">
        <v>435</v>
      </c>
      <c r="C994" s="315">
        <v>43371</v>
      </c>
      <c r="D994" s="315">
        <v>43616</v>
      </c>
      <c r="E994" s="351">
        <v>50</v>
      </c>
      <c r="F994" s="138"/>
      <c r="G994" s="138">
        <v>10036.69</v>
      </c>
      <c r="H994" s="241"/>
      <c r="I994" s="138">
        <v>10036.69</v>
      </c>
      <c r="J994" s="138">
        <v>10036.69</v>
      </c>
      <c r="K994" s="66"/>
      <c r="L994" s="62"/>
    </row>
    <row r="995" spans="2:12" ht="12.75" outlineLevel="1" x14ac:dyDescent="0.2">
      <c r="B995" s="68" t="s">
        <v>436</v>
      </c>
      <c r="C995" s="315">
        <v>43371</v>
      </c>
      <c r="D995" s="315">
        <v>43585</v>
      </c>
      <c r="E995" s="351">
        <v>50</v>
      </c>
      <c r="F995" s="138"/>
      <c r="G995" s="138">
        <v>5057.93</v>
      </c>
      <c r="H995" s="241"/>
      <c r="I995" s="138">
        <v>5057.93</v>
      </c>
      <c r="J995" s="138">
        <v>5057.93</v>
      </c>
      <c r="K995" s="66"/>
      <c r="L995" s="62"/>
    </row>
    <row r="996" spans="2:12" ht="24" outlineLevel="1" x14ac:dyDescent="0.2">
      <c r="B996" s="68" t="s">
        <v>437</v>
      </c>
      <c r="C996" s="315">
        <v>43371</v>
      </c>
      <c r="D996" s="315">
        <v>43585</v>
      </c>
      <c r="E996" s="351">
        <v>50</v>
      </c>
      <c r="F996" s="138"/>
      <c r="G996" s="138">
        <v>3730.14</v>
      </c>
      <c r="H996" s="241"/>
      <c r="I996" s="138">
        <v>3730.14</v>
      </c>
      <c r="J996" s="138">
        <v>3730.14</v>
      </c>
      <c r="K996" s="66"/>
      <c r="L996" s="62"/>
    </row>
    <row r="997" spans="2:12" ht="24" outlineLevel="1" x14ac:dyDescent="0.2">
      <c r="B997" s="68" t="s">
        <v>438</v>
      </c>
      <c r="C997" s="315">
        <v>43371</v>
      </c>
      <c r="D997" s="315">
        <v>43555</v>
      </c>
      <c r="E997" s="351">
        <v>60</v>
      </c>
      <c r="F997" s="138"/>
      <c r="G997" s="138">
        <v>8307.5300000000007</v>
      </c>
      <c r="H997" s="241"/>
      <c r="I997" s="138">
        <v>8307.5300000000007</v>
      </c>
      <c r="J997" s="138">
        <v>8307.5300000000007</v>
      </c>
      <c r="K997" s="66"/>
      <c r="L997" s="62"/>
    </row>
    <row r="998" spans="2:12" ht="12.75" outlineLevel="1" x14ac:dyDescent="0.2">
      <c r="B998" s="68" t="s">
        <v>925</v>
      </c>
      <c r="C998" s="315">
        <v>43383</v>
      </c>
      <c r="D998" s="315">
        <v>43555</v>
      </c>
      <c r="E998" s="351">
        <v>60</v>
      </c>
      <c r="F998" s="138"/>
      <c r="G998" s="138">
        <v>6011.97</v>
      </c>
      <c r="H998" s="241"/>
      <c r="I998" s="138">
        <v>6011.97</v>
      </c>
      <c r="J998" s="138">
        <v>6011.97</v>
      </c>
      <c r="K998" s="66"/>
      <c r="L998" s="62"/>
    </row>
    <row r="999" spans="2:12" ht="12.75" outlineLevel="1" x14ac:dyDescent="0.2">
      <c r="B999" s="68" t="s">
        <v>926</v>
      </c>
      <c r="C999" s="315">
        <v>43384</v>
      </c>
      <c r="D999" s="315">
        <v>43555</v>
      </c>
      <c r="E999" s="351">
        <v>60</v>
      </c>
      <c r="F999" s="138"/>
      <c r="G999" s="138">
        <v>41490.559999999998</v>
      </c>
      <c r="H999" s="241"/>
      <c r="I999" s="138">
        <v>41490.559999999998</v>
      </c>
      <c r="J999" s="138">
        <v>41490.559999999998</v>
      </c>
      <c r="K999" s="66"/>
      <c r="L999" s="62"/>
    </row>
    <row r="1000" spans="2:12" ht="12.75" outlineLevel="1" x14ac:dyDescent="0.2">
      <c r="B1000" s="68" t="s">
        <v>927</v>
      </c>
      <c r="C1000" s="315">
        <v>43384</v>
      </c>
      <c r="D1000" s="315">
        <v>43555</v>
      </c>
      <c r="E1000" s="351">
        <v>60</v>
      </c>
      <c r="F1000" s="138"/>
      <c r="G1000" s="138">
        <v>6437.84</v>
      </c>
      <c r="H1000" s="241"/>
      <c r="I1000" s="138">
        <v>6437.84</v>
      </c>
      <c r="J1000" s="138">
        <v>6437.84</v>
      </c>
      <c r="K1000" s="66"/>
      <c r="L1000" s="62"/>
    </row>
    <row r="1001" spans="2:12" ht="12.75" outlineLevel="1" x14ac:dyDescent="0.2">
      <c r="B1001" s="68" t="s">
        <v>928</v>
      </c>
      <c r="C1001" s="315">
        <v>43384</v>
      </c>
      <c r="D1001" s="315">
        <v>43616</v>
      </c>
      <c r="E1001" s="351">
        <v>30</v>
      </c>
      <c r="F1001" s="138"/>
      <c r="G1001" s="138">
        <v>19483.68</v>
      </c>
      <c r="H1001" s="241"/>
      <c r="I1001" s="138">
        <v>19483.68</v>
      </c>
      <c r="J1001" s="138">
        <v>19483.68</v>
      </c>
      <c r="K1001" s="66"/>
      <c r="L1001" s="62"/>
    </row>
    <row r="1002" spans="2:12" ht="24" outlineLevel="1" x14ac:dyDescent="0.2">
      <c r="B1002" s="68" t="s">
        <v>929</v>
      </c>
      <c r="C1002" s="315">
        <v>43388</v>
      </c>
      <c r="D1002" s="315">
        <v>43616</v>
      </c>
      <c r="E1002" s="351">
        <v>30</v>
      </c>
      <c r="F1002" s="138"/>
      <c r="G1002" s="138">
        <v>6936.78</v>
      </c>
      <c r="H1002" s="241"/>
      <c r="I1002" s="138">
        <v>6936.78</v>
      </c>
      <c r="J1002" s="138">
        <v>6936.78</v>
      </c>
      <c r="K1002" s="66"/>
      <c r="L1002" s="62"/>
    </row>
    <row r="1003" spans="2:12" ht="12.75" outlineLevel="1" x14ac:dyDescent="0.2">
      <c r="B1003" s="68" t="s">
        <v>930</v>
      </c>
      <c r="C1003" s="315">
        <v>43388</v>
      </c>
      <c r="D1003" s="315">
        <v>43616</v>
      </c>
      <c r="E1003" s="351">
        <v>30</v>
      </c>
      <c r="F1003" s="138"/>
      <c r="G1003" s="138">
        <v>6259.04</v>
      </c>
      <c r="H1003" s="241"/>
      <c r="I1003" s="138">
        <v>6259.04</v>
      </c>
      <c r="J1003" s="138">
        <v>6259.04</v>
      </c>
      <c r="K1003" s="66"/>
      <c r="L1003" s="62"/>
    </row>
    <row r="1004" spans="2:12" ht="24" outlineLevel="1" x14ac:dyDescent="0.2">
      <c r="B1004" s="68" t="s">
        <v>931</v>
      </c>
      <c r="C1004" s="315">
        <v>43388</v>
      </c>
      <c r="D1004" s="315">
        <v>43616</v>
      </c>
      <c r="E1004" s="351">
        <v>30</v>
      </c>
      <c r="F1004" s="138"/>
      <c r="G1004" s="138">
        <v>4857.92</v>
      </c>
      <c r="H1004" s="241"/>
      <c r="I1004" s="138">
        <v>4857.92</v>
      </c>
      <c r="J1004" s="138">
        <v>4857.92</v>
      </c>
      <c r="K1004" s="66"/>
      <c r="L1004" s="62"/>
    </row>
    <row r="1005" spans="2:12" ht="12.75" outlineLevel="1" x14ac:dyDescent="0.2">
      <c r="B1005" s="68" t="s">
        <v>932</v>
      </c>
      <c r="C1005" s="315">
        <v>43388</v>
      </c>
      <c r="D1005" s="315">
        <v>43585</v>
      </c>
      <c r="E1005" s="351">
        <v>40</v>
      </c>
      <c r="F1005" s="138"/>
      <c r="G1005" s="138">
        <v>26238.09</v>
      </c>
      <c r="H1005" s="241"/>
      <c r="I1005" s="138">
        <v>26238.09</v>
      </c>
      <c r="J1005" s="138">
        <v>26238.09</v>
      </c>
      <c r="K1005" s="66"/>
      <c r="L1005" s="62"/>
    </row>
    <row r="1006" spans="2:12" ht="12.75" outlineLevel="1" x14ac:dyDescent="0.2">
      <c r="B1006" s="68" t="s">
        <v>933</v>
      </c>
      <c r="C1006" s="315">
        <v>43388</v>
      </c>
      <c r="D1006" s="315">
        <v>43616</v>
      </c>
      <c r="E1006" s="351">
        <v>30</v>
      </c>
      <c r="F1006" s="138"/>
      <c r="G1006" s="138">
        <v>4313.87</v>
      </c>
      <c r="H1006" s="241"/>
      <c r="I1006" s="138">
        <v>4313.87</v>
      </c>
      <c r="J1006" s="138">
        <v>4313.87</v>
      </c>
      <c r="K1006" s="66"/>
      <c r="L1006" s="62"/>
    </row>
    <row r="1007" spans="2:12" ht="24" outlineLevel="1" x14ac:dyDescent="0.2">
      <c r="B1007" s="68" t="s">
        <v>934</v>
      </c>
      <c r="C1007" s="315">
        <v>43390</v>
      </c>
      <c r="D1007" s="315">
        <v>43616</v>
      </c>
      <c r="E1007" s="351">
        <v>30</v>
      </c>
      <c r="F1007" s="138"/>
      <c r="G1007" s="138">
        <v>4925.18</v>
      </c>
      <c r="H1007" s="241"/>
      <c r="I1007" s="138">
        <v>4925.18</v>
      </c>
      <c r="J1007" s="138">
        <v>4925.18</v>
      </c>
      <c r="K1007" s="66"/>
      <c r="L1007" s="62"/>
    </row>
    <row r="1008" spans="2:12" ht="24" outlineLevel="1" x14ac:dyDescent="0.2">
      <c r="B1008" s="68" t="s">
        <v>935</v>
      </c>
      <c r="C1008" s="315">
        <v>43392</v>
      </c>
      <c r="D1008" s="315">
        <v>43616</v>
      </c>
      <c r="E1008" s="351">
        <v>30</v>
      </c>
      <c r="F1008" s="138"/>
      <c r="G1008" s="138">
        <v>7228.18</v>
      </c>
      <c r="H1008" s="241"/>
      <c r="I1008" s="138">
        <v>7228.18</v>
      </c>
      <c r="J1008" s="138">
        <v>7228.18</v>
      </c>
      <c r="K1008" s="66"/>
      <c r="L1008" s="62"/>
    </row>
    <row r="1009" spans="1:12" ht="24" outlineLevel="1" x14ac:dyDescent="0.2">
      <c r="B1009" s="68" t="s">
        <v>936</v>
      </c>
      <c r="C1009" s="315">
        <v>43396</v>
      </c>
      <c r="D1009" s="315">
        <v>43616</v>
      </c>
      <c r="E1009" s="351">
        <v>30</v>
      </c>
      <c r="F1009" s="138"/>
      <c r="G1009" s="138">
        <v>32516.94</v>
      </c>
      <c r="H1009" s="241"/>
      <c r="I1009" s="138">
        <v>32516.94</v>
      </c>
      <c r="J1009" s="138">
        <v>32516.94</v>
      </c>
      <c r="K1009" s="66"/>
      <c r="L1009" s="62"/>
    </row>
    <row r="1010" spans="1:12" ht="24" outlineLevel="1" x14ac:dyDescent="0.2">
      <c r="B1010" s="68" t="s">
        <v>937</v>
      </c>
      <c r="C1010" s="315">
        <v>43397</v>
      </c>
      <c r="D1010" s="315">
        <v>43616</v>
      </c>
      <c r="E1010" s="351">
        <v>30</v>
      </c>
      <c r="F1010" s="138"/>
      <c r="G1010" s="138">
        <v>7639.6</v>
      </c>
      <c r="H1010" s="241"/>
      <c r="I1010" s="138">
        <v>7639.6</v>
      </c>
      <c r="J1010" s="138">
        <v>7639.6</v>
      </c>
      <c r="K1010" s="66"/>
      <c r="L1010" s="62"/>
    </row>
    <row r="1011" spans="1:12" ht="24" outlineLevel="1" x14ac:dyDescent="0.2">
      <c r="B1011" s="68" t="s">
        <v>938</v>
      </c>
      <c r="C1011" s="315">
        <v>43399</v>
      </c>
      <c r="D1011" s="315">
        <v>43616</v>
      </c>
      <c r="E1011" s="351">
        <v>30</v>
      </c>
      <c r="F1011" s="138"/>
      <c r="G1011" s="138">
        <v>7289.98</v>
      </c>
      <c r="H1011" s="241"/>
      <c r="I1011" s="138">
        <v>7289.98</v>
      </c>
      <c r="J1011" s="138">
        <v>7289.98</v>
      </c>
      <c r="K1011" s="66"/>
      <c r="L1011" s="62"/>
    </row>
    <row r="1012" spans="1:12" ht="24" outlineLevel="1" x14ac:dyDescent="0.2">
      <c r="B1012" s="68" t="s">
        <v>939</v>
      </c>
      <c r="C1012" s="315">
        <v>43402</v>
      </c>
      <c r="D1012" s="315">
        <v>43616</v>
      </c>
      <c r="E1012" s="351">
        <v>30</v>
      </c>
      <c r="F1012" s="138"/>
      <c r="G1012" s="138">
        <v>2621.73</v>
      </c>
      <c r="H1012" s="241"/>
      <c r="I1012" s="138">
        <v>2621.73</v>
      </c>
      <c r="J1012" s="138">
        <v>2621.73</v>
      </c>
      <c r="K1012" s="66"/>
      <c r="L1012" s="62"/>
    </row>
    <row r="1013" spans="1:12" ht="24" outlineLevel="1" x14ac:dyDescent="0.2">
      <c r="B1013" s="68" t="s">
        <v>940</v>
      </c>
      <c r="C1013" s="315">
        <v>43403</v>
      </c>
      <c r="D1013" s="315">
        <v>43646</v>
      </c>
      <c r="E1013" s="351">
        <v>20</v>
      </c>
      <c r="F1013" s="138"/>
      <c r="G1013" s="138">
        <v>4608.6899999999996</v>
      </c>
      <c r="H1013" s="241"/>
      <c r="I1013" s="138">
        <v>4608.6899999999996</v>
      </c>
      <c r="J1013" s="138">
        <v>4608.6899999999996</v>
      </c>
      <c r="K1013" s="66"/>
      <c r="L1013" s="62"/>
    </row>
    <row r="1014" spans="1:12" ht="12.75" outlineLevel="1" x14ac:dyDescent="0.2">
      <c r="B1014" s="68" t="s">
        <v>941</v>
      </c>
      <c r="C1014" s="315">
        <v>43381</v>
      </c>
      <c r="D1014" s="315">
        <v>43585</v>
      </c>
      <c r="E1014" s="351">
        <v>40</v>
      </c>
      <c r="F1014" s="138"/>
      <c r="G1014" s="138">
        <v>7950.94</v>
      </c>
      <c r="H1014" s="241"/>
      <c r="I1014" s="138">
        <v>7950.94</v>
      </c>
      <c r="J1014" s="138">
        <v>7950.94</v>
      </c>
      <c r="K1014" s="66"/>
      <c r="L1014" s="62"/>
    </row>
    <row r="1015" spans="1:12" ht="12.75" x14ac:dyDescent="0.2">
      <c r="B1015" s="70"/>
      <c r="C1015" s="315"/>
      <c r="D1015" s="315"/>
      <c r="E1015" s="352"/>
      <c r="F1015" s="124">
        <f t="shared" ref="F1015:H1015" si="72">SUM(F915:F1014)</f>
        <v>0</v>
      </c>
      <c r="G1015" s="124">
        <f t="shared" si="72"/>
        <v>1214852.6099999999</v>
      </c>
      <c r="H1015" s="124">
        <f t="shared" si="72"/>
        <v>0</v>
      </c>
      <c r="I1015" s="124">
        <f>SUM(I915:I1014)</f>
        <v>1214852.6099999999</v>
      </c>
      <c r="J1015" s="124">
        <f>SUM(J915:J1014)</f>
        <v>1214852.6099999999</v>
      </c>
      <c r="K1015" s="69">
        <f>I1015-J1015</f>
        <v>0</v>
      </c>
      <c r="L1015" s="63">
        <f>I1015-J1015</f>
        <v>0</v>
      </c>
    </row>
    <row r="1016" spans="1:12" ht="12.75" x14ac:dyDescent="0.2">
      <c r="B1016" s="67"/>
      <c r="C1016" s="367"/>
      <c r="D1016" s="367"/>
      <c r="E1016" s="368"/>
      <c r="F1016" s="244"/>
      <c r="G1016" s="244"/>
      <c r="H1016" s="244"/>
      <c r="I1016" s="139"/>
      <c r="J1016" s="139"/>
      <c r="K1016" s="63">
        <f>I1016-J1016</f>
        <v>0</v>
      </c>
      <c r="L1016" s="63">
        <f>I1016-J1016</f>
        <v>0</v>
      </c>
    </row>
    <row r="1017" spans="1:12" s="72" customFormat="1" ht="24" x14ac:dyDescent="0.2">
      <c r="A1017" s="73"/>
      <c r="B1017" s="76" t="s">
        <v>950</v>
      </c>
      <c r="C1017" s="316"/>
      <c r="D1017" s="369"/>
      <c r="E1017" s="370"/>
      <c r="F1017" s="151"/>
      <c r="G1017" s="151"/>
      <c r="H1017" s="146"/>
      <c r="I1017" s="140"/>
      <c r="J1017" s="150"/>
      <c r="K1017" s="77"/>
      <c r="L1017" s="78"/>
    </row>
    <row r="1018" spans="1:12" s="72" customFormat="1" ht="12.75" outlineLevel="1" x14ac:dyDescent="0.2">
      <c r="A1018" s="73"/>
      <c r="B1018" s="211" t="s">
        <v>942</v>
      </c>
      <c r="C1018" s="310">
        <v>43034</v>
      </c>
      <c r="D1018" s="369">
        <v>43538</v>
      </c>
      <c r="E1018" s="370">
        <v>90</v>
      </c>
      <c r="F1018" s="245"/>
      <c r="G1018" s="151">
        <v>4662.25</v>
      </c>
      <c r="H1018" s="146"/>
      <c r="I1018" s="140">
        <f t="shared" ref="I1018:I1025" si="73">SUM(G1018:H1018)</f>
        <v>4662.25</v>
      </c>
      <c r="J1018" s="150">
        <v>4662.25</v>
      </c>
      <c r="K1018" s="73">
        <f t="shared" ref="K1018:K1025" si="74">I1018-J1018</f>
        <v>0</v>
      </c>
      <c r="L1018" s="73">
        <f t="shared" ref="L1018:L1025" si="75">I1018-J1018</f>
        <v>0</v>
      </c>
    </row>
    <row r="1019" spans="1:12" s="72" customFormat="1" ht="12.75" outlineLevel="1" x14ac:dyDescent="0.2">
      <c r="A1019" s="73"/>
      <c r="B1019" s="211" t="s">
        <v>943</v>
      </c>
      <c r="C1019" s="310">
        <v>43031</v>
      </c>
      <c r="D1019" s="371">
        <v>43639</v>
      </c>
      <c r="E1019" s="342">
        <v>90</v>
      </c>
      <c r="F1019" s="245"/>
      <c r="G1019" s="246">
        <v>96000</v>
      </c>
      <c r="H1019" s="246"/>
      <c r="I1019" s="140">
        <f t="shared" si="73"/>
        <v>96000</v>
      </c>
      <c r="J1019" s="301">
        <v>96000</v>
      </c>
      <c r="K1019" s="73">
        <f t="shared" si="74"/>
        <v>0</v>
      </c>
      <c r="L1019" s="73">
        <f t="shared" si="75"/>
        <v>0</v>
      </c>
    </row>
    <row r="1020" spans="1:12" s="72" customFormat="1" ht="24" outlineLevel="1" x14ac:dyDescent="0.2">
      <c r="A1020" s="73"/>
      <c r="B1020" s="211" t="s">
        <v>944</v>
      </c>
      <c r="C1020" s="310">
        <v>42730</v>
      </c>
      <c r="D1020" s="371">
        <v>43615</v>
      </c>
      <c r="E1020" s="342">
        <v>90</v>
      </c>
      <c r="F1020" s="245"/>
      <c r="G1020" s="246">
        <v>34718.06</v>
      </c>
      <c r="H1020" s="246"/>
      <c r="I1020" s="140">
        <f t="shared" si="73"/>
        <v>34718.06</v>
      </c>
      <c r="J1020" s="301">
        <v>34718.06</v>
      </c>
      <c r="K1020" s="73">
        <f t="shared" si="74"/>
        <v>0</v>
      </c>
      <c r="L1020" s="73">
        <f t="shared" si="75"/>
        <v>0</v>
      </c>
    </row>
    <row r="1021" spans="1:12" s="72" customFormat="1" ht="24" outlineLevel="1" x14ac:dyDescent="0.2">
      <c r="A1021" s="73"/>
      <c r="B1021" s="211" t="s">
        <v>945</v>
      </c>
      <c r="C1021" s="310">
        <v>43096</v>
      </c>
      <c r="D1021" s="371">
        <v>43545</v>
      </c>
      <c r="E1021" s="342">
        <v>90</v>
      </c>
      <c r="F1021" s="245"/>
      <c r="G1021" s="246">
        <v>8200</v>
      </c>
      <c r="H1021" s="246"/>
      <c r="I1021" s="140">
        <f t="shared" si="73"/>
        <v>8200</v>
      </c>
      <c r="J1021" s="301">
        <v>8200</v>
      </c>
      <c r="K1021" s="73">
        <f t="shared" si="74"/>
        <v>0</v>
      </c>
      <c r="L1021" s="73">
        <f t="shared" si="75"/>
        <v>0</v>
      </c>
    </row>
    <row r="1022" spans="1:12" ht="24" outlineLevel="1" x14ac:dyDescent="0.2">
      <c r="A1022" s="75"/>
      <c r="B1022" s="211" t="s">
        <v>946</v>
      </c>
      <c r="C1022" s="310">
        <v>43017</v>
      </c>
      <c r="D1022" s="371">
        <v>43639</v>
      </c>
      <c r="E1022" s="342">
        <v>90</v>
      </c>
      <c r="F1022" s="247"/>
      <c r="G1022" s="246">
        <v>96000</v>
      </c>
      <c r="H1022" s="246"/>
      <c r="I1022" s="140">
        <f t="shared" si="73"/>
        <v>96000</v>
      </c>
      <c r="J1022" s="301">
        <v>96000</v>
      </c>
      <c r="K1022" s="73">
        <f t="shared" si="74"/>
        <v>0</v>
      </c>
      <c r="L1022" s="73">
        <f t="shared" si="75"/>
        <v>0</v>
      </c>
    </row>
    <row r="1023" spans="1:12" ht="24" outlineLevel="1" x14ac:dyDescent="0.2">
      <c r="A1023" s="437"/>
      <c r="B1023" s="211" t="s">
        <v>947</v>
      </c>
      <c r="C1023" s="310">
        <v>43346</v>
      </c>
      <c r="D1023" s="371">
        <v>43578</v>
      </c>
      <c r="E1023" s="342">
        <v>70</v>
      </c>
      <c r="F1023" s="247"/>
      <c r="G1023" s="246">
        <v>15030.46</v>
      </c>
      <c r="H1023" s="246"/>
      <c r="I1023" s="140">
        <f t="shared" si="73"/>
        <v>15030.46</v>
      </c>
      <c r="J1023" s="301">
        <v>15030.46</v>
      </c>
      <c r="K1023" s="73">
        <f t="shared" si="74"/>
        <v>0</v>
      </c>
      <c r="L1023" s="73">
        <f t="shared" si="75"/>
        <v>0</v>
      </c>
    </row>
    <row r="1024" spans="1:12" ht="12.75" outlineLevel="1" x14ac:dyDescent="0.2">
      <c r="A1024" s="438"/>
      <c r="B1024" s="211" t="s">
        <v>948</v>
      </c>
      <c r="C1024" s="310">
        <v>43346</v>
      </c>
      <c r="D1024" s="371">
        <v>43516</v>
      </c>
      <c r="E1024" s="342">
        <v>90</v>
      </c>
      <c r="F1024" s="247"/>
      <c r="G1024" s="246">
        <v>19981.080000000002</v>
      </c>
      <c r="H1024" s="246"/>
      <c r="I1024" s="140">
        <f t="shared" si="73"/>
        <v>19981.080000000002</v>
      </c>
      <c r="J1024" s="301">
        <v>19981.080000000002</v>
      </c>
      <c r="K1024" s="73">
        <f t="shared" si="74"/>
        <v>0</v>
      </c>
      <c r="L1024" s="73">
        <f t="shared" si="75"/>
        <v>0</v>
      </c>
    </row>
    <row r="1025" spans="1:12" ht="12.75" outlineLevel="1" x14ac:dyDescent="0.2">
      <c r="A1025" s="438"/>
      <c r="B1025" s="211" t="s">
        <v>949</v>
      </c>
      <c r="C1025" s="310">
        <v>43314</v>
      </c>
      <c r="D1025" s="371">
        <v>44094</v>
      </c>
      <c r="E1025" s="342">
        <v>90</v>
      </c>
      <c r="F1025" s="247"/>
      <c r="G1025" s="246">
        <v>10323.56</v>
      </c>
      <c r="H1025" s="246"/>
      <c r="I1025" s="140">
        <f t="shared" si="73"/>
        <v>10323.56</v>
      </c>
      <c r="J1025" s="301">
        <v>10323.56</v>
      </c>
      <c r="K1025" s="73">
        <f t="shared" si="74"/>
        <v>0</v>
      </c>
      <c r="L1025" s="73">
        <f t="shared" si="75"/>
        <v>0</v>
      </c>
    </row>
    <row r="1026" spans="1:12" ht="12.75" customHeight="1" x14ac:dyDescent="0.2">
      <c r="A1026" s="439"/>
      <c r="B1026" s="74"/>
      <c r="C1026" s="341"/>
      <c r="D1026" s="316"/>
      <c r="E1026" s="342"/>
      <c r="F1026" s="183">
        <f>SUM(F1016:F1022)</f>
        <v>0</v>
      </c>
      <c r="G1026" s="183">
        <f>SUM(G1016:G1025)</f>
        <v>284915.40999999997</v>
      </c>
      <c r="H1026" s="183">
        <f>SUM(H1016:H1022)</f>
        <v>0</v>
      </c>
      <c r="I1026" s="183">
        <f>SUM(I1016:I1025)</f>
        <v>284915.40999999997</v>
      </c>
      <c r="J1026" s="183">
        <f>SUM(J1016:J1025)</f>
        <v>284915.40999999997</v>
      </c>
      <c r="K1026" s="93"/>
      <c r="L1026" s="75"/>
    </row>
    <row r="1027" spans="1:12" x14ac:dyDescent="0.2">
      <c r="B1027" s="17"/>
      <c r="C1027" s="348"/>
      <c r="D1027" s="324"/>
      <c r="E1027" s="365"/>
      <c r="F1027" s="241"/>
      <c r="G1027" s="241"/>
      <c r="H1027" s="241"/>
      <c r="I1027" s="136"/>
      <c r="J1027" s="130"/>
      <c r="K1027" s="28"/>
      <c r="L1027" s="21"/>
    </row>
    <row r="1028" spans="1:12" ht="24" x14ac:dyDescent="0.2">
      <c r="B1028" s="76" t="s">
        <v>951</v>
      </c>
      <c r="C1028" s="316"/>
      <c r="D1028" s="369"/>
      <c r="E1028" s="370"/>
      <c r="F1028" s="151"/>
      <c r="G1028" s="151"/>
      <c r="H1028" s="146"/>
      <c r="I1028" s="140"/>
      <c r="J1028" s="150"/>
      <c r="K1028" s="77"/>
      <c r="L1028" s="78"/>
    </row>
    <row r="1029" spans="1:12" ht="39.75" hidden="1" customHeight="1" outlineLevel="1" x14ac:dyDescent="0.2">
      <c r="B1029" s="79" t="s">
        <v>952</v>
      </c>
      <c r="C1029" s="316">
        <v>43405</v>
      </c>
      <c r="D1029" s="369">
        <v>43524</v>
      </c>
      <c r="E1029" s="370">
        <v>50</v>
      </c>
      <c r="F1029" s="151"/>
      <c r="G1029" s="151">
        <v>30000</v>
      </c>
      <c r="H1029" s="146"/>
      <c r="I1029" s="140">
        <v>30000</v>
      </c>
      <c r="J1029" s="150">
        <v>30000</v>
      </c>
      <c r="K1029" s="73">
        <f t="shared" ref="K1029:K1040" si="76">I1029-J1029</f>
        <v>0</v>
      </c>
      <c r="L1029" s="73">
        <f t="shared" ref="L1029:L1040" si="77">I1029-J1029</f>
        <v>0</v>
      </c>
    </row>
    <row r="1030" spans="1:12" ht="31.5" hidden="1" customHeight="1" outlineLevel="1" x14ac:dyDescent="0.2">
      <c r="B1030" s="80" t="s">
        <v>953</v>
      </c>
      <c r="C1030" s="371">
        <v>43374</v>
      </c>
      <c r="D1030" s="371">
        <v>43738</v>
      </c>
      <c r="E1030" s="342">
        <v>10</v>
      </c>
      <c r="F1030" s="245"/>
      <c r="G1030" s="245">
        <v>19670</v>
      </c>
      <c r="H1030" s="245"/>
      <c r="I1030" s="141">
        <v>19670</v>
      </c>
      <c r="J1030" s="141">
        <v>19670</v>
      </c>
      <c r="K1030" s="73">
        <f t="shared" si="76"/>
        <v>0</v>
      </c>
      <c r="L1030" s="73">
        <f t="shared" si="77"/>
        <v>0</v>
      </c>
    </row>
    <row r="1031" spans="1:12" ht="27.75" hidden="1" customHeight="1" outlineLevel="1" x14ac:dyDescent="0.2">
      <c r="B1031" s="80" t="s">
        <v>954</v>
      </c>
      <c r="C1031" s="371">
        <v>43374</v>
      </c>
      <c r="D1031" s="371">
        <v>43616</v>
      </c>
      <c r="E1031" s="342">
        <v>10</v>
      </c>
      <c r="F1031" s="245"/>
      <c r="G1031" s="245">
        <v>10676</v>
      </c>
      <c r="H1031" s="245"/>
      <c r="I1031" s="141">
        <v>10676</v>
      </c>
      <c r="J1031" s="141">
        <v>10676</v>
      </c>
      <c r="K1031" s="73">
        <f t="shared" si="76"/>
        <v>0</v>
      </c>
      <c r="L1031" s="73">
        <f t="shared" si="77"/>
        <v>0</v>
      </c>
    </row>
    <row r="1032" spans="1:12" ht="23.25" hidden="1" customHeight="1" outlineLevel="1" x14ac:dyDescent="0.2">
      <c r="B1032" s="80" t="s">
        <v>955</v>
      </c>
      <c r="C1032" s="371">
        <v>43435</v>
      </c>
      <c r="D1032" s="371">
        <v>43616</v>
      </c>
      <c r="E1032" s="342">
        <v>50</v>
      </c>
      <c r="F1032" s="245">
        <v>24000</v>
      </c>
      <c r="G1032" s="245"/>
      <c r="H1032" s="245"/>
      <c r="I1032" s="141">
        <v>24000</v>
      </c>
      <c r="J1032" s="141">
        <v>24000</v>
      </c>
      <c r="K1032" s="73">
        <f t="shared" si="76"/>
        <v>0</v>
      </c>
      <c r="L1032" s="73">
        <f t="shared" si="77"/>
        <v>0</v>
      </c>
    </row>
    <row r="1033" spans="1:12" ht="24" hidden="1" outlineLevel="1" x14ac:dyDescent="0.2">
      <c r="B1033" s="80" t="s">
        <v>956</v>
      </c>
      <c r="C1033" s="371">
        <v>43435</v>
      </c>
      <c r="D1033" s="371">
        <v>43616</v>
      </c>
      <c r="E1033" s="342">
        <v>50</v>
      </c>
      <c r="F1033" s="245">
        <v>24000</v>
      </c>
      <c r="G1033" s="245"/>
      <c r="H1033" s="245"/>
      <c r="I1033" s="141">
        <v>24000</v>
      </c>
      <c r="J1033" s="141">
        <v>24000</v>
      </c>
      <c r="K1033" s="73">
        <f t="shared" si="76"/>
        <v>0</v>
      </c>
      <c r="L1033" s="73">
        <f t="shared" si="77"/>
        <v>0</v>
      </c>
    </row>
    <row r="1034" spans="1:12" ht="24" hidden="1" outlineLevel="1" x14ac:dyDescent="0.2">
      <c r="B1034" s="80" t="s">
        <v>957</v>
      </c>
      <c r="C1034" s="371">
        <v>43374</v>
      </c>
      <c r="D1034" s="371">
        <v>43616</v>
      </c>
      <c r="E1034" s="342">
        <v>50</v>
      </c>
      <c r="F1034" s="245"/>
      <c r="G1034" s="245">
        <v>26010</v>
      </c>
      <c r="H1034" s="245"/>
      <c r="I1034" s="141">
        <v>26010</v>
      </c>
      <c r="J1034" s="141">
        <v>26010</v>
      </c>
      <c r="K1034" s="73">
        <f t="shared" si="76"/>
        <v>0</v>
      </c>
      <c r="L1034" s="73">
        <f t="shared" si="77"/>
        <v>0</v>
      </c>
    </row>
    <row r="1035" spans="1:12" ht="24" hidden="1" outlineLevel="1" x14ac:dyDescent="0.2">
      <c r="B1035" s="80" t="s">
        <v>958</v>
      </c>
      <c r="C1035" s="371">
        <v>43435</v>
      </c>
      <c r="D1035" s="371">
        <v>43616</v>
      </c>
      <c r="E1035" s="342">
        <v>50</v>
      </c>
      <c r="F1035" s="245">
        <v>16000</v>
      </c>
      <c r="G1035" s="245"/>
      <c r="H1035" s="245"/>
      <c r="I1035" s="141">
        <v>16000</v>
      </c>
      <c r="J1035" s="141">
        <v>16000</v>
      </c>
      <c r="K1035" s="73">
        <f t="shared" si="76"/>
        <v>0</v>
      </c>
      <c r="L1035" s="73">
        <f t="shared" si="77"/>
        <v>0</v>
      </c>
    </row>
    <row r="1036" spans="1:12" ht="24" hidden="1" outlineLevel="1" x14ac:dyDescent="0.2">
      <c r="B1036" s="80" t="s">
        <v>959</v>
      </c>
      <c r="C1036" s="371">
        <v>43384</v>
      </c>
      <c r="D1036" s="371">
        <v>43738</v>
      </c>
      <c r="E1036" s="342">
        <v>10</v>
      </c>
      <c r="F1036" s="245"/>
      <c r="G1036" s="245">
        <v>10866</v>
      </c>
      <c r="H1036" s="245"/>
      <c r="I1036" s="141">
        <v>10866</v>
      </c>
      <c r="J1036" s="141">
        <v>10866</v>
      </c>
      <c r="K1036" s="73">
        <f t="shared" si="76"/>
        <v>0</v>
      </c>
      <c r="L1036" s="73">
        <f t="shared" si="77"/>
        <v>0</v>
      </c>
    </row>
    <row r="1037" spans="1:12" ht="24" hidden="1" outlineLevel="1" x14ac:dyDescent="0.2">
      <c r="B1037" s="80" t="s">
        <v>960</v>
      </c>
      <c r="C1037" s="371">
        <v>43435</v>
      </c>
      <c r="D1037" s="371">
        <v>43555</v>
      </c>
      <c r="E1037" s="342">
        <v>50</v>
      </c>
      <c r="F1037" s="245">
        <v>24000</v>
      </c>
      <c r="G1037" s="245"/>
      <c r="H1037" s="245"/>
      <c r="I1037" s="141">
        <v>24000</v>
      </c>
      <c r="J1037" s="141">
        <v>24000</v>
      </c>
      <c r="K1037" s="73">
        <f t="shared" si="76"/>
        <v>0</v>
      </c>
      <c r="L1037" s="73">
        <f t="shared" si="77"/>
        <v>0</v>
      </c>
    </row>
    <row r="1038" spans="1:12" ht="12.75" hidden="1" outlineLevel="1" x14ac:dyDescent="0.2">
      <c r="B1038" s="80" t="s">
        <v>961</v>
      </c>
      <c r="C1038" s="371">
        <v>43405</v>
      </c>
      <c r="D1038" s="371">
        <v>43830</v>
      </c>
      <c r="E1038" s="342">
        <v>10</v>
      </c>
      <c r="F1038" s="245"/>
      <c r="G1038" s="245">
        <v>45000</v>
      </c>
      <c r="H1038" s="245"/>
      <c r="I1038" s="141">
        <v>45000</v>
      </c>
      <c r="J1038" s="141">
        <v>45000</v>
      </c>
      <c r="K1038" s="73">
        <f t="shared" si="76"/>
        <v>0</v>
      </c>
      <c r="L1038" s="73">
        <f t="shared" si="77"/>
        <v>0</v>
      </c>
    </row>
    <row r="1039" spans="1:12" ht="12.75" hidden="1" outlineLevel="1" x14ac:dyDescent="0.2">
      <c r="B1039" s="80" t="s">
        <v>962</v>
      </c>
      <c r="C1039" s="371">
        <v>43435</v>
      </c>
      <c r="D1039" s="371">
        <v>43496</v>
      </c>
      <c r="E1039" s="342">
        <v>70</v>
      </c>
      <c r="F1039" s="245"/>
      <c r="G1039" s="245">
        <v>18540</v>
      </c>
      <c r="H1039" s="245"/>
      <c r="I1039" s="141">
        <v>18540</v>
      </c>
      <c r="J1039" s="141">
        <v>18540</v>
      </c>
      <c r="K1039" s="73">
        <f t="shared" si="76"/>
        <v>0</v>
      </c>
      <c r="L1039" s="73">
        <f t="shared" si="77"/>
        <v>0</v>
      </c>
    </row>
    <row r="1040" spans="1:12" ht="12.75" hidden="1" outlineLevel="1" x14ac:dyDescent="0.2">
      <c r="B1040" s="82" t="s">
        <v>963</v>
      </c>
      <c r="C1040" s="302">
        <v>1980</v>
      </c>
      <c r="D1040" s="372">
        <v>43830</v>
      </c>
      <c r="E1040" s="302">
        <v>15</v>
      </c>
      <c r="F1040" s="302">
        <v>1159171.18</v>
      </c>
      <c r="G1040" s="302"/>
      <c r="H1040" s="302">
        <v>7369.34</v>
      </c>
      <c r="I1040" s="212">
        <v>1166540.52</v>
      </c>
      <c r="J1040" s="212">
        <v>1166540.52</v>
      </c>
      <c r="K1040" s="73">
        <f t="shared" si="76"/>
        <v>0</v>
      </c>
      <c r="L1040" s="73">
        <f t="shared" si="77"/>
        <v>0</v>
      </c>
    </row>
    <row r="1041" spans="2:13" ht="15" hidden="1" outlineLevel="1" x14ac:dyDescent="0.25">
      <c r="B1041" s="81"/>
      <c r="C1041" s="316"/>
      <c r="D1041" s="316"/>
      <c r="E1041" s="342"/>
      <c r="F1041" s="248"/>
      <c r="G1041" s="248"/>
      <c r="H1041" s="248"/>
      <c r="I1041" s="142"/>
      <c r="J1041" s="142"/>
      <c r="K1041" s="81">
        <f>SUM(K1030:K1033)</f>
        <v>0</v>
      </c>
      <c r="L1041" s="81">
        <f>SUM(L1030:L1033)</f>
        <v>0</v>
      </c>
    </row>
    <row r="1042" spans="2:13" ht="12.75" collapsed="1" x14ac:dyDescent="0.2">
      <c r="B1042" s="74"/>
      <c r="C1042" s="341"/>
      <c r="D1042" s="316"/>
      <c r="E1042" s="342"/>
      <c r="F1042" s="183">
        <f>SUM(F1027:F1041)</f>
        <v>1247171.18</v>
      </c>
      <c r="G1042" s="183">
        <f>SUM(G1027:G1041)</f>
        <v>160762</v>
      </c>
      <c r="H1042" s="183">
        <f>SUM(H1027:H1041)</f>
        <v>7369.34</v>
      </c>
      <c r="I1042" s="183">
        <f>SUM(I1027:I1041)</f>
        <v>1415302.52</v>
      </c>
      <c r="J1042" s="183">
        <f>SUM(J1027:J1041)</f>
        <v>1415302.52</v>
      </c>
      <c r="K1042" s="93"/>
      <c r="L1042" s="75"/>
    </row>
    <row r="1043" spans="2:13" x14ac:dyDescent="0.2">
      <c r="B1043" s="17"/>
      <c r="C1043" s="348"/>
      <c r="D1043" s="324"/>
      <c r="E1043" s="365"/>
      <c r="F1043" s="241"/>
      <c r="G1043" s="241"/>
      <c r="H1043" s="241"/>
      <c r="I1043" s="136"/>
      <c r="J1043" s="130"/>
      <c r="K1043" s="28"/>
      <c r="L1043" s="21"/>
    </row>
    <row r="1044" spans="2:13" ht="12.75" thickBot="1" x14ac:dyDescent="0.25">
      <c r="B1044" s="17"/>
      <c r="C1044" s="348"/>
      <c r="D1044" s="324"/>
      <c r="E1044" s="365"/>
      <c r="F1044" s="241"/>
      <c r="G1044" s="241"/>
      <c r="H1044" s="241"/>
      <c r="I1044" s="136"/>
      <c r="J1044" s="130"/>
      <c r="K1044" s="28"/>
      <c r="L1044" s="21"/>
    </row>
    <row r="1045" spans="2:13" ht="28.5" customHeight="1" thickBot="1" x14ac:dyDescent="0.25">
      <c r="B1045" s="83" t="s">
        <v>1736</v>
      </c>
      <c r="C1045" s="317"/>
      <c r="D1045" s="373"/>
      <c r="E1045" s="374"/>
      <c r="F1045" s="303"/>
      <c r="G1045" s="143"/>
      <c r="H1045" s="143"/>
      <c r="I1045" s="143"/>
      <c r="J1045" s="143"/>
      <c r="K1045" s="84"/>
      <c r="L1045" s="122"/>
      <c r="M1045" s="123"/>
    </row>
    <row r="1046" spans="2:13" ht="22.5" outlineLevel="1" x14ac:dyDescent="0.2">
      <c r="B1046" s="89" t="s">
        <v>967</v>
      </c>
      <c r="C1046" s="341">
        <v>42745</v>
      </c>
      <c r="D1046" s="369">
        <v>43830</v>
      </c>
      <c r="E1046" s="342">
        <v>90</v>
      </c>
      <c r="F1046" s="249">
        <v>135062.85</v>
      </c>
      <c r="G1046" s="250">
        <v>19823.04</v>
      </c>
      <c r="H1046" s="251"/>
      <c r="I1046" s="125">
        <f t="shared" ref="I1046:I1109" si="78">F1046+G1046+H1046</f>
        <v>154885.89000000001</v>
      </c>
      <c r="J1046" s="125">
        <f t="shared" ref="J1046:J1109" si="79">I1046</f>
        <v>154885.89000000001</v>
      </c>
      <c r="K1046" s="90"/>
      <c r="M1046" s="91"/>
    </row>
    <row r="1047" spans="2:13" ht="22.5" outlineLevel="1" x14ac:dyDescent="0.2">
      <c r="B1047" s="92" t="s">
        <v>968</v>
      </c>
      <c r="C1047" s="341">
        <v>42761</v>
      </c>
      <c r="D1047" s="369">
        <v>43830</v>
      </c>
      <c r="E1047" s="342">
        <v>70</v>
      </c>
      <c r="F1047" s="304"/>
      <c r="G1047" s="252">
        <v>17583.91</v>
      </c>
      <c r="H1047" s="253"/>
      <c r="I1047" s="126">
        <f t="shared" si="78"/>
        <v>17583.91</v>
      </c>
      <c r="J1047" s="126">
        <f t="shared" si="79"/>
        <v>17583.91</v>
      </c>
      <c r="K1047" s="94"/>
      <c r="M1047" s="95"/>
    </row>
    <row r="1048" spans="2:13" ht="22.5" outlineLevel="1" x14ac:dyDescent="0.2">
      <c r="B1048" s="92" t="s">
        <v>969</v>
      </c>
      <c r="C1048" s="341">
        <v>42712</v>
      </c>
      <c r="D1048" s="369">
        <v>43830</v>
      </c>
      <c r="E1048" s="342">
        <v>60</v>
      </c>
      <c r="F1048" s="304"/>
      <c r="G1048" s="252">
        <v>92448.6</v>
      </c>
      <c r="H1048" s="253"/>
      <c r="I1048" s="126">
        <f t="shared" si="78"/>
        <v>92448.6</v>
      </c>
      <c r="J1048" s="126">
        <f t="shared" si="79"/>
        <v>92448.6</v>
      </c>
      <c r="K1048" s="94"/>
      <c r="M1048" s="95"/>
    </row>
    <row r="1049" spans="2:13" ht="22.5" outlineLevel="1" x14ac:dyDescent="0.2">
      <c r="B1049" s="92" t="s">
        <v>970</v>
      </c>
      <c r="C1049" s="341">
        <v>42626</v>
      </c>
      <c r="D1049" s="369">
        <v>43830</v>
      </c>
      <c r="E1049" s="342">
        <v>90</v>
      </c>
      <c r="F1049" s="304"/>
      <c r="G1049" s="252"/>
      <c r="H1049" s="253">
        <v>588.14</v>
      </c>
      <c r="I1049" s="126">
        <f t="shared" si="78"/>
        <v>588.14</v>
      </c>
      <c r="J1049" s="126">
        <f t="shared" si="79"/>
        <v>588.14</v>
      </c>
      <c r="K1049" s="94"/>
      <c r="M1049" s="95"/>
    </row>
    <row r="1050" spans="2:13" ht="22.5" outlineLevel="1" x14ac:dyDescent="0.2">
      <c r="B1050" s="92" t="s">
        <v>971</v>
      </c>
      <c r="C1050" s="341">
        <v>42545</v>
      </c>
      <c r="D1050" s="369">
        <v>43830</v>
      </c>
      <c r="E1050" s="342">
        <v>80</v>
      </c>
      <c r="F1050" s="304"/>
      <c r="G1050" s="252"/>
      <c r="H1050" s="253">
        <v>588.14</v>
      </c>
      <c r="I1050" s="126">
        <f t="shared" si="78"/>
        <v>588.14</v>
      </c>
      <c r="J1050" s="126">
        <f t="shared" si="79"/>
        <v>588.14</v>
      </c>
      <c r="K1050" s="94"/>
      <c r="M1050" s="95"/>
    </row>
    <row r="1051" spans="2:13" ht="22.5" outlineLevel="1" x14ac:dyDescent="0.2">
      <c r="B1051" s="92" t="s">
        <v>972</v>
      </c>
      <c r="C1051" s="341">
        <v>42649</v>
      </c>
      <c r="D1051" s="369">
        <v>43830</v>
      </c>
      <c r="E1051" s="342">
        <v>60</v>
      </c>
      <c r="F1051" s="304"/>
      <c r="G1051" s="252">
        <v>21091</v>
      </c>
      <c r="H1051" s="253"/>
      <c r="I1051" s="126">
        <f t="shared" si="78"/>
        <v>21091</v>
      </c>
      <c r="J1051" s="126">
        <f t="shared" si="79"/>
        <v>21091</v>
      </c>
      <c r="K1051" s="94"/>
      <c r="M1051" s="95"/>
    </row>
    <row r="1052" spans="2:13" ht="22.5" outlineLevel="1" x14ac:dyDescent="0.2">
      <c r="B1052" s="92" t="s">
        <v>973</v>
      </c>
      <c r="C1052" s="341">
        <v>42993</v>
      </c>
      <c r="D1052" s="369">
        <v>43830</v>
      </c>
      <c r="E1052" s="342">
        <v>40</v>
      </c>
      <c r="F1052" s="254">
        <v>84593.77</v>
      </c>
      <c r="G1052" s="252">
        <v>19165.21</v>
      </c>
      <c r="H1052" s="253"/>
      <c r="I1052" s="126">
        <f t="shared" si="78"/>
        <v>103758.98000000001</v>
      </c>
      <c r="J1052" s="126">
        <f t="shared" si="79"/>
        <v>103758.98000000001</v>
      </c>
      <c r="K1052" s="94"/>
      <c r="M1052" s="95"/>
    </row>
    <row r="1053" spans="2:13" ht="22.5" outlineLevel="1" x14ac:dyDescent="0.2">
      <c r="B1053" s="92" t="s">
        <v>974</v>
      </c>
      <c r="C1053" s="341">
        <v>42522</v>
      </c>
      <c r="D1053" s="369">
        <v>43830</v>
      </c>
      <c r="E1053" s="342">
        <v>85</v>
      </c>
      <c r="F1053" s="254">
        <v>1178.83</v>
      </c>
      <c r="G1053" s="252"/>
      <c r="H1053" s="253"/>
      <c r="I1053" s="126">
        <f t="shared" si="78"/>
        <v>1178.83</v>
      </c>
      <c r="J1053" s="126">
        <f t="shared" si="79"/>
        <v>1178.83</v>
      </c>
      <c r="K1053" s="94"/>
      <c r="M1053" s="95"/>
    </row>
    <row r="1054" spans="2:13" ht="22.5" outlineLevel="1" x14ac:dyDescent="0.2">
      <c r="B1054" s="92" t="s">
        <v>975</v>
      </c>
      <c r="C1054" s="341">
        <v>42985</v>
      </c>
      <c r="D1054" s="369">
        <v>43830</v>
      </c>
      <c r="E1054" s="342">
        <v>50</v>
      </c>
      <c r="F1054" s="304"/>
      <c r="G1054" s="252">
        <v>20214.330000000002</v>
      </c>
      <c r="H1054" s="253"/>
      <c r="I1054" s="126">
        <f t="shared" si="78"/>
        <v>20214.330000000002</v>
      </c>
      <c r="J1054" s="126">
        <f t="shared" si="79"/>
        <v>20214.330000000002</v>
      </c>
      <c r="K1054" s="94"/>
      <c r="M1054" s="95"/>
    </row>
    <row r="1055" spans="2:13" ht="22.5" outlineLevel="1" x14ac:dyDescent="0.2">
      <c r="B1055" s="92" t="s">
        <v>976</v>
      </c>
      <c r="C1055" s="341">
        <v>42962</v>
      </c>
      <c r="D1055" s="369">
        <v>43830</v>
      </c>
      <c r="E1055" s="342">
        <v>95</v>
      </c>
      <c r="F1055" s="254">
        <v>97104.15</v>
      </c>
      <c r="G1055" s="252">
        <v>52467.67</v>
      </c>
      <c r="H1055" s="253"/>
      <c r="I1055" s="126">
        <f t="shared" si="78"/>
        <v>149571.82</v>
      </c>
      <c r="J1055" s="126">
        <f t="shared" si="79"/>
        <v>149571.82</v>
      </c>
      <c r="K1055" s="94"/>
      <c r="M1055" s="95"/>
    </row>
    <row r="1056" spans="2:13" ht="22.5" outlineLevel="1" x14ac:dyDescent="0.2">
      <c r="B1056" s="92" t="s">
        <v>977</v>
      </c>
      <c r="C1056" s="375" t="s">
        <v>1482</v>
      </c>
      <c r="D1056" s="369">
        <v>43830</v>
      </c>
      <c r="E1056" s="342">
        <v>80</v>
      </c>
      <c r="F1056" s="254">
        <v>28545.91</v>
      </c>
      <c r="G1056" s="252">
        <v>9287.1</v>
      </c>
      <c r="H1056" s="253"/>
      <c r="I1056" s="126">
        <f t="shared" si="78"/>
        <v>37833.01</v>
      </c>
      <c r="J1056" s="126">
        <f t="shared" si="79"/>
        <v>37833.01</v>
      </c>
      <c r="K1056" s="94"/>
      <c r="M1056" s="95"/>
    </row>
    <row r="1057" spans="2:13" ht="22.5" outlineLevel="1" x14ac:dyDescent="0.2">
      <c r="B1057" s="92" t="s">
        <v>978</v>
      </c>
      <c r="C1057" s="341">
        <v>43012</v>
      </c>
      <c r="D1057" s="369">
        <v>43830</v>
      </c>
      <c r="E1057" s="342">
        <v>40</v>
      </c>
      <c r="F1057" s="304"/>
      <c r="G1057" s="252">
        <v>11323.44</v>
      </c>
      <c r="H1057" s="253"/>
      <c r="I1057" s="126">
        <f t="shared" si="78"/>
        <v>11323.44</v>
      </c>
      <c r="J1057" s="126">
        <f t="shared" si="79"/>
        <v>11323.44</v>
      </c>
      <c r="K1057" s="94"/>
      <c r="M1057" s="95"/>
    </row>
    <row r="1058" spans="2:13" ht="12.75" outlineLevel="1" x14ac:dyDescent="0.2">
      <c r="B1058" s="92" t="s">
        <v>979</v>
      </c>
      <c r="C1058" s="341">
        <v>42684</v>
      </c>
      <c r="D1058" s="369">
        <v>43830</v>
      </c>
      <c r="E1058" s="342">
        <v>60</v>
      </c>
      <c r="F1058" s="254">
        <v>79971.710000000006</v>
      </c>
      <c r="G1058" s="252">
        <v>16727.45</v>
      </c>
      <c r="H1058" s="253"/>
      <c r="I1058" s="126">
        <f t="shared" si="78"/>
        <v>96699.16</v>
      </c>
      <c r="J1058" s="126">
        <f t="shared" si="79"/>
        <v>96699.16</v>
      </c>
      <c r="K1058" s="94"/>
      <c r="M1058" s="95"/>
    </row>
    <row r="1059" spans="2:13" ht="12.75" outlineLevel="1" x14ac:dyDescent="0.2">
      <c r="B1059" s="92" t="s">
        <v>980</v>
      </c>
      <c r="C1059" s="341">
        <v>42754</v>
      </c>
      <c r="D1059" s="369">
        <v>43830</v>
      </c>
      <c r="E1059" s="342">
        <v>60</v>
      </c>
      <c r="F1059" s="254">
        <v>29193.08</v>
      </c>
      <c r="G1059" s="252">
        <v>19072.89</v>
      </c>
      <c r="H1059" s="253"/>
      <c r="I1059" s="126">
        <f t="shared" si="78"/>
        <v>48265.97</v>
      </c>
      <c r="J1059" s="126">
        <f t="shared" si="79"/>
        <v>48265.97</v>
      </c>
      <c r="K1059" s="94"/>
      <c r="M1059" s="95"/>
    </row>
    <row r="1060" spans="2:13" ht="22.5" outlineLevel="1" x14ac:dyDescent="0.2">
      <c r="B1060" s="92" t="s">
        <v>981</v>
      </c>
      <c r="C1060" s="341">
        <v>42712</v>
      </c>
      <c r="D1060" s="369">
        <v>43830</v>
      </c>
      <c r="E1060" s="342">
        <v>95</v>
      </c>
      <c r="F1060" s="254">
        <v>48209.62</v>
      </c>
      <c r="G1060" s="252">
        <v>17276.04</v>
      </c>
      <c r="H1060" s="253"/>
      <c r="I1060" s="126">
        <f t="shared" si="78"/>
        <v>65485.66</v>
      </c>
      <c r="J1060" s="126">
        <f t="shared" si="79"/>
        <v>65485.66</v>
      </c>
      <c r="K1060" s="94"/>
      <c r="M1060" s="95"/>
    </row>
    <row r="1061" spans="2:13" ht="22.5" outlineLevel="1" x14ac:dyDescent="0.2">
      <c r="B1061" s="92" t="s">
        <v>982</v>
      </c>
      <c r="C1061" s="341">
        <v>42801</v>
      </c>
      <c r="D1061" s="369">
        <v>43830</v>
      </c>
      <c r="E1061" s="342">
        <v>60</v>
      </c>
      <c r="F1061" s="304"/>
      <c r="G1061" s="252">
        <v>8330.75</v>
      </c>
      <c r="H1061" s="253"/>
      <c r="I1061" s="126">
        <f t="shared" si="78"/>
        <v>8330.75</v>
      </c>
      <c r="J1061" s="126">
        <f t="shared" si="79"/>
        <v>8330.75</v>
      </c>
      <c r="K1061" s="94"/>
      <c r="M1061" s="95"/>
    </row>
    <row r="1062" spans="2:13" ht="22.5" outlineLevel="1" x14ac:dyDescent="0.2">
      <c r="B1062" s="92" t="s">
        <v>983</v>
      </c>
      <c r="C1062" s="341">
        <v>42976</v>
      </c>
      <c r="D1062" s="369">
        <v>43830</v>
      </c>
      <c r="E1062" s="342">
        <v>60</v>
      </c>
      <c r="F1062" s="304"/>
      <c r="G1062" s="305">
        <v>13612.44</v>
      </c>
      <c r="H1062" s="253"/>
      <c r="I1062" s="126">
        <f t="shared" si="78"/>
        <v>13612.44</v>
      </c>
      <c r="J1062" s="126">
        <f t="shared" si="79"/>
        <v>13612.44</v>
      </c>
      <c r="K1062" s="94"/>
      <c r="M1062" s="95"/>
    </row>
    <row r="1063" spans="2:13" ht="22.5" outlineLevel="1" x14ac:dyDescent="0.2">
      <c r="B1063" s="92" t="s">
        <v>984</v>
      </c>
      <c r="C1063" s="341">
        <v>42510</v>
      </c>
      <c r="D1063" s="369">
        <v>43830</v>
      </c>
      <c r="E1063" s="342">
        <v>60</v>
      </c>
      <c r="F1063" s="254">
        <v>181543.81</v>
      </c>
      <c r="G1063" s="252">
        <v>13505.78</v>
      </c>
      <c r="H1063" s="253"/>
      <c r="I1063" s="126">
        <f t="shared" si="78"/>
        <v>195049.59</v>
      </c>
      <c r="J1063" s="126">
        <f t="shared" si="79"/>
        <v>195049.59</v>
      </c>
      <c r="K1063" s="94"/>
      <c r="M1063" s="95"/>
    </row>
    <row r="1064" spans="2:13" ht="22.5" outlineLevel="1" x14ac:dyDescent="0.2">
      <c r="B1064" s="92" t="s">
        <v>985</v>
      </c>
      <c r="C1064" s="341">
        <v>42387</v>
      </c>
      <c r="D1064" s="369">
        <v>43830</v>
      </c>
      <c r="E1064" s="342">
        <v>60</v>
      </c>
      <c r="F1064" s="304"/>
      <c r="G1064" s="305">
        <v>47725.47</v>
      </c>
      <c r="H1064" s="253"/>
      <c r="I1064" s="126">
        <f t="shared" si="78"/>
        <v>47725.47</v>
      </c>
      <c r="J1064" s="126">
        <f t="shared" si="79"/>
        <v>47725.47</v>
      </c>
      <c r="K1064" s="94"/>
      <c r="M1064" s="95"/>
    </row>
    <row r="1065" spans="2:13" ht="22.5" outlineLevel="1" x14ac:dyDescent="0.2">
      <c r="B1065" s="92" t="s">
        <v>986</v>
      </c>
      <c r="C1065" s="341">
        <v>42549</v>
      </c>
      <c r="D1065" s="369">
        <v>43830</v>
      </c>
      <c r="E1065" s="342">
        <v>60</v>
      </c>
      <c r="F1065" s="304"/>
      <c r="G1065" s="252">
        <v>14301.56</v>
      </c>
      <c r="H1065" s="253"/>
      <c r="I1065" s="126">
        <f t="shared" si="78"/>
        <v>14301.56</v>
      </c>
      <c r="J1065" s="126">
        <f t="shared" si="79"/>
        <v>14301.56</v>
      </c>
      <c r="K1065" s="94"/>
      <c r="M1065" s="95"/>
    </row>
    <row r="1066" spans="2:13" ht="22.5" outlineLevel="1" x14ac:dyDescent="0.2">
      <c r="B1066" s="92" t="s">
        <v>987</v>
      </c>
      <c r="C1066" s="341">
        <v>43084</v>
      </c>
      <c r="D1066" s="369">
        <v>43830</v>
      </c>
      <c r="E1066" s="342">
        <v>55</v>
      </c>
      <c r="F1066" s="254">
        <v>162730.46</v>
      </c>
      <c r="G1066" s="305">
        <v>43822.13</v>
      </c>
      <c r="H1066" s="253"/>
      <c r="I1066" s="126">
        <f t="shared" si="78"/>
        <v>206552.59</v>
      </c>
      <c r="J1066" s="126">
        <f t="shared" si="79"/>
        <v>206552.59</v>
      </c>
      <c r="K1066" s="94"/>
      <c r="M1066" s="95"/>
    </row>
    <row r="1067" spans="2:13" ht="22.5" outlineLevel="1" x14ac:dyDescent="0.2">
      <c r="B1067" s="92" t="s">
        <v>988</v>
      </c>
      <c r="C1067" s="341">
        <v>42697</v>
      </c>
      <c r="D1067" s="369">
        <v>43830</v>
      </c>
      <c r="E1067" s="342">
        <v>50</v>
      </c>
      <c r="F1067" s="304"/>
      <c r="G1067" s="252">
        <v>6435.7</v>
      </c>
      <c r="H1067" s="253"/>
      <c r="I1067" s="126">
        <f t="shared" si="78"/>
        <v>6435.7</v>
      </c>
      <c r="J1067" s="126">
        <f t="shared" si="79"/>
        <v>6435.7</v>
      </c>
      <c r="K1067" s="94"/>
      <c r="M1067" s="95"/>
    </row>
    <row r="1068" spans="2:13" ht="22.5" outlineLevel="1" x14ac:dyDescent="0.2">
      <c r="B1068" s="92" t="s">
        <v>989</v>
      </c>
      <c r="C1068" s="341">
        <v>42626</v>
      </c>
      <c r="D1068" s="369">
        <v>43830</v>
      </c>
      <c r="E1068" s="342">
        <v>60</v>
      </c>
      <c r="F1068" s="254">
        <v>85574.01</v>
      </c>
      <c r="G1068" s="252">
        <v>12871.4</v>
      </c>
      <c r="H1068" s="253"/>
      <c r="I1068" s="126">
        <f t="shared" si="78"/>
        <v>98445.409999999989</v>
      </c>
      <c r="J1068" s="126">
        <f t="shared" si="79"/>
        <v>98445.409999999989</v>
      </c>
      <c r="K1068" s="94"/>
      <c r="M1068" s="95"/>
    </row>
    <row r="1069" spans="2:13" ht="22.5" outlineLevel="1" x14ac:dyDescent="0.2">
      <c r="B1069" s="92" t="s">
        <v>990</v>
      </c>
      <c r="C1069" s="341">
        <v>42390</v>
      </c>
      <c r="D1069" s="369">
        <v>43830</v>
      </c>
      <c r="E1069" s="342">
        <v>60</v>
      </c>
      <c r="F1069" s="254">
        <v>137613.41</v>
      </c>
      <c r="G1069" s="252">
        <v>22679.43</v>
      </c>
      <c r="H1069" s="253"/>
      <c r="I1069" s="126">
        <f t="shared" si="78"/>
        <v>160292.84</v>
      </c>
      <c r="J1069" s="126">
        <f t="shared" si="79"/>
        <v>160292.84</v>
      </c>
      <c r="K1069" s="94"/>
      <c r="M1069" s="95"/>
    </row>
    <row r="1070" spans="2:13" ht="22.5" outlineLevel="1" x14ac:dyDescent="0.2">
      <c r="B1070" s="92" t="s">
        <v>991</v>
      </c>
      <c r="C1070" s="341">
        <v>43111</v>
      </c>
      <c r="D1070" s="369">
        <v>43830</v>
      </c>
      <c r="E1070" s="342">
        <v>40</v>
      </c>
      <c r="F1070" s="304"/>
      <c r="G1070" s="252">
        <v>27171.83</v>
      </c>
      <c r="H1070" s="253"/>
      <c r="I1070" s="126">
        <f t="shared" si="78"/>
        <v>27171.83</v>
      </c>
      <c r="J1070" s="126">
        <f t="shared" si="79"/>
        <v>27171.83</v>
      </c>
      <c r="K1070" s="94"/>
      <c r="M1070" s="95"/>
    </row>
    <row r="1071" spans="2:13" ht="22.5" outlineLevel="1" x14ac:dyDescent="0.2">
      <c r="B1071" s="92" t="s">
        <v>992</v>
      </c>
      <c r="C1071" s="341">
        <v>42762</v>
      </c>
      <c r="D1071" s="369">
        <v>43830</v>
      </c>
      <c r="E1071" s="342">
        <v>40</v>
      </c>
      <c r="F1071" s="254">
        <v>195492.49</v>
      </c>
      <c r="G1071" s="252">
        <v>7150.78</v>
      </c>
      <c r="H1071" s="253"/>
      <c r="I1071" s="126">
        <f t="shared" si="78"/>
        <v>202643.27</v>
      </c>
      <c r="J1071" s="126">
        <f t="shared" si="79"/>
        <v>202643.27</v>
      </c>
      <c r="K1071" s="94"/>
      <c r="M1071" s="95"/>
    </row>
    <row r="1072" spans="2:13" ht="22.5" outlineLevel="1" x14ac:dyDescent="0.2">
      <c r="B1072" s="92" t="s">
        <v>993</v>
      </c>
      <c r="C1072" s="341">
        <v>42761</v>
      </c>
      <c r="D1072" s="369">
        <v>43830</v>
      </c>
      <c r="E1072" s="342">
        <v>80</v>
      </c>
      <c r="F1072" s="254">
        <v>40678.15</v>
      </c>
      <c r="G1072" s="252">
        <v>1633.94</v>
      </c>
      <c r="H1072" s="253"/>
      <c r="I1072" s="126">
        <f t="shared" si="78"/>
        <v>42312.090000000004</v>
      </c>
      <c r="J1072" s="126">
        <f t="shared" si="79"/>
        <v>42312.090000000004</v>
      </c>
      <c r="K1072" s="94"/>
      <c r="M1072" s="95"/>
    </row>
    <row r="1073" spans="2:13" ht="22.5" outlineLevel="1" x14ac:dyDescent="0.2">
      <c r="B1073" s="92" t="s">
        <v>994</v>
      </c>
      <c r="C1073" s="341">
        <v>42692</v>
      </c>
      <c r="D1073" s="369">
        <v>43830</v>
      </c>
      <c r="E1073" s="342">
        <v>60</v>
      </c>
      <c r="F1073" s="254">
        <v>239206.15</v>
      </c>
      <c r="G1073" s="252">
        <v>66898.33</v>
      </c>
      <c r="H1073" s="253"/>
      <c r="I1073" s="126">
        <f t="shared" si="78"/>
        <v>306104.48</v>
      </c>
      <c r="J1073" s="126">
        <f t="shared" si="79"/>
        <v>306104.48</v>
      </c>
      <c r="K1073" s="94"/>
      <c r="M1073" s="95"/>
    </row>
    <row r="1074" spans="2:13" ht="22.5" outlineLevel="1" x14ac:dyDescent="0.2">
      <c r="B1074" s="92" t="s">
        <v>995</v>
      </c>
      <c r="C1074" s="341">
        <v>42990</v>
      </c>
      <c r="D1074" s="369">
        <v>43830</v>
      </c>
      <c r="E1074" s="342">
        <v>97</v>
      </c>
      <c r="F1074" s="254">
        <v>18859.400000000001</v>
      </c>
      <c r="G1074" s="305">
        <v>6573.06</v>
      </c>
      <c r="H1074" s="253"/>
      <c r="I1074" s="126">
        <f t="shared" si="78"/>
        <v>25432.460000000003</v>
      </c>
      <c r="J1074" s="126">
        <f t="shared" si="79"/>
        <v>25432.460000000003</v>
      </c>
      <c r="K1074" s="94"/>
      <c r="M1074" s="95"/>
    </row>
    <row r="1075" spans="2:13" ht="22.5" outlineLevel="1" x14ac:dyDescent="0.2">
      <c r="B1075" s="92" t="s">
        <v>996</v>
      </c>
      <c r="C1075" s="341">
        <v>42997</v>
      </c>
      <c r="D1075" s="369">
        <v>43830</v>
      </c>
      <c r="E1075" s="342">
        <v>95</v>
      </c>
      <c r="F1075" s="254">
        <v>28535.46</v>
      </c>
      <c r="G1075" s="252">
        <v>7357.82</v>
      </c>
      <c r="H1075" s="253"/>
      <c r="I1075" s="126">
        <f t="shared" si="78"/>
        <v>35893.279999999999</v>
      </c>
      <c r="J1075" s="126">
        <f t="shared" si="79"/>
        <v>35893.279999999999</v>
      </c>
      <c r="K1075" s="94"/>
      <c r="M1075" s="95"/>
    </row>
    <row r="1076" spans="2:13" ht="22.5" outlineLevel="1" x14ac:dyDescent="0.2">
      <c r="B1076" s="92" t="s">
        <v>997</v>
      </c>
      <c r="C1076" s="341">
        <v>43021</v>
      </c>
      <c r="D1076" s="369">
        <v>43830</v>
      </c>
      <c r="E1076" s="342">
        <v>70</v>
      </c>
      <c r="F1076" s="255">
        <v>27840.2</v>
      </c>
      <c r="G1076" s="252">
        <v>8713.74</v>
      </c>
      <c r="H1076" s="253"/>
      <c r="I1076" s="126">
        <f t="shared" si="78"/>
        <v>36553.94</v>
      </c>
      <c r="J1076" s="126">
        <f t="shared" si="79"/>
        <v>36553.94</v>
      </c>
      <c r="K1076" s="94"/>
      <c r="M1076" s="95"/>
    </row>
    <row r="1077" spans="2:13" ht="22.5" outlineLevel="1" x14ac:dyDescent="0.2">
      <c r="B1077" s="92" t="s">
        <v>998</v>
      </c>
      <c r="C1077" s="341">
        <v>43024</v>
      </c>
      <c r="D1077" s="369">
        <v>43830</v>
      </c>
      <c r="E1077" s="342">
        <v>80</v>
      </c>
      <c r="F1077" s="254">
        <v>36578.89</v>
      </c>
      <c r="G1077" s="252">
        <v>6461.66</v>
      </c>
      <c r="H1077" s="253"/>
      <c r="I1077" s="126">
        <f t="shared" si="78"/>
        <v>43040.55</v>
      </c>
      <c r="J1077" s="126">
        <f t="shared" si="79"/>
        <v>43040.55</v>
      </c>
      <c r="K1077" s="94"/>
      <c r="M1077" s="95"/>
    </row>
    <row r="1078" spans="2:13" ht="12.75" outlineLevel="1" x14ac:dyDescent="0.2">
      <c r="B1078" s="92" t="s">
        <v>999</v>
      </c>
      <c r="C1078" s="341">
        <v>42975</v>
      </c>
      <c r="D1078" s="369">
        <v>43830</v>
      </c>
      <c r="E1078" s="342">
        <v>60</v>
      </c>
      <c r="F1078" s="254">
        <v>33375.980000000003</v>
      </c>
      <c r="G1078" s="305">
        <v>8713.74</v>
      </c>
      <c r="H1078" s="253"/>
      <c r="I1078" s="126">
        <f t="shared" si="78"/>
        <v>42089.72</v>
      </c>
      <c r="J1078" s="126">
        <f t="shared" si="79"/>
        <v>42089.72</v>
      </c>
      <c r="K1078" s="94"/>
      <c r="M1078" s="95"/>
    </row>
    <row r="1079" spans="2:13" ht="22.5" outlineLevel="1" x14ac:dyDescent="0.2">
      <c r="B1079" s="92" t="s">
        <v>1000</v>
      </c>
      <c r="C1079" s="341">
        <v>42990</v>
      </c>
      <c r="D1079" s="369">
        <v>43830</v>
      </c>
      <c r="E1079" s="342">
        <v>95</v>
      </c>
      <c r="F1079" s="254">
        <v>19346.759999999998</v>
      </c>
      <c r="G1079" s="252">
        <v>6573.06</v>
      </c>
      <c r="H1079" s="253"/>
      <c r="I1079" s="126">
        <f t="shared" si="78"/>
        <v>25919.82</v>
      </c>
      <c r="J1079" s="126">
        <f t="shared" si="79"/>
        <v>25919.82</v>
      </c>
      <c r="K1079" s="94"/>
      <c r="M1079" s="95"/>
    </row>
    <row r="1080" spans="2:13" ht="22.5" outlineLevel="1" x14ac:dyDescent="0.2">
      <c r="B1080" s="92" t="s">
        <v>1001</v>
      </c>
      <c r="C1080" s="341">
        <v>42803</v>
      </c>
      <c r="D1080" s="369">
        <v>43830</v>
      </c>
      <c r="E1080" s="342">
        <v>60</v>
      </c>
      <c r="F1080" s="304"/>
      <c r="G1080" s="305">
        <v>1550.46</v>
      </c>
      <c r="H1080" s="253"/>
      <c r="I1080" s="126">
        <f t="shared" si="78"/>
        <v>1550.46</v>
      </c>
      <c r="J1080" s="126">
        <f t="shared" si="79"/>
        <v>1550.46</v>
      </c>
      <c r="K1080" s="94"/>
      <c r="M1080" s="95"/>
    </row>
    <row r="1081" spans="2:13" ht="22.5" outlineLevel="1" x14ac:dyDescent="0.2">
      <c r="B1081" s="92" t="s">
        <v>1002</v>
      </c>
      <c r="C1081" s="341">
        <v>42811</v>
      </c>
      <c r="D1081" s="369">
        <v>43830</v>
      </c>
      <c r="E1081" s="342">
        <v>50</v>
      </c>
      <c r="F1081" s="254">
        <v>237913.95</v>
      </c>
      <c r="G1081" s="252">
        <v>1550.46</v>
      </c>
      <c r="H1081" s="253"/>
      <c r="I1081" s="126">
        <f t="shared" si="78"/>
        <v>239464.41</v>
      </c>
      <c r="J1081" s="126">
        <f t="shared" si="79"/>
        <v>239464.41</v>
      </c>
      <c r="K1081" s="94"/>
      <c r="M1081" s="95"/>
    </row>
    <row r="1082" spans="2:13" ht="22.5" outlineLevel="1" x14ac:dyDescent="0.2">
      <c r="B1082" s="92" t="s">
        <v>1003</v>
      </c>
      <c r="C1082" s="341">
        <v>42955</v>
      </c>
      <c r="D1082" s="369">
        <v>43830</v>
      </c>
      <c r="E1082" s="342">
        <v>60</v>
      </c>
      <c r="F1082" s="254">
        <v>43618.63</v>
      </c>
      <c r="G1082" s="305">
        <v>15830.55</v>
      </c>
      <c r="H1082" s="253"/>
      <c r="I1082" s="126">
        <f t="shared" si="78"/>
        <v>59449.179999999993</v>
      </c>
      <c r="J1082" s="126">
        <f t="shared" si="79"/>
        <v>59449.179999999993</v>
      </c>
      <c r="K1082" s="94"/>
      <c r="M1082" s="95"/>
    </row>
    <row r="1083" spans="2:13" ht="22.5" outlineLevel="1" x14ac:dyDescent="0.2">
      <c r="B1083" s="92" t="s">
        <v>1004</v>
      </c>
      <c r="C1083" s="341">
        <v>42713</v>
      </c>
      <c r="D1083" s="369">
        <v>43830</v>
      </c>
      <c r="E1083" s="342">
        <v>70</v>
      </c>
      <c r="F1083" s="304"/>
      <c r="G1083" s="252">
        <v>25853.84</v>
      </c>
      <c r="H1083" s="253"/>
      <c r="I1083" s="126">
        <f t="shared" si="78"/>
        <v>25853.84</v>
      </c>
      <c r="J1083" s="126">
        <f t="shared" si="79"/>
        <v>25853.84</v>
      </c>
      <c r="K1083" s="94"/>
      <c r="M1083" s="95"/>
    </row>
    <row r="1084" spans="2:13" ht="22.5" outlineLevel="1" x14ac:dyDescent="0.2">
      <c r="B1084" s="92" t="s">
        <v>1005</v>
      </c>
      <c r="C1084" s="341">
        <v>42794</v>
      </c>
      <c r="D1084" s="369">
        <v>43830</v>
      </c>
      <c r="E1084" s="342">
        <v>70</v>
      </c>
      <c r="F1084" s="304"/>
      <c r="G1084" s="252">
        <v>19466.919999999998</v>
      </c>
      <c r="H1084" s="253"/>
      <c r="I1084" s="126">
        <f t="shared" si="78"/>
        <v>19466.919999999998</v>
      </c>
      <c r="J1084" s="126">
        <f t="shared" si="79"/>
        <v>19466.919999999998</v>
      </c>
      <c r="K1084" s="94"/>
      <c r="M1084" s="95"/>
    </row>
    <row r="1085" spans="2:13" ht="22.5" outlineLevel="1" x14ac:dyDescent="0.2">
      <c r="B1085" s="92" t="s">
        <v>1006</v>
      </c>
      <c r="C1085" s="341">
        <v>42688</v>
      </c>
      <c r="D1085" s="369">
        <v>43830</v>
      </c>
      <c r="E1085" s="342">
        <v>40</v>
      </c>
      <c r="F1085" s="304"/>
      <c r="G1085" s="305">
        <v>17060.669999999998</v>
      </c>
      <c r="H1085" s="253"/>
      <c r="I1085" s="126">
        <f t="shared" si="78"/>
        <v>17060.669999999998</v>
      </c>
      <c r="J1085" s="126">
        <f t="shared" si="79"/>
        <v>17060.669999999998</v>
      </c>
      <c r="K1085" s="94"/>
      <c r="M1085" s="95"/>
    </row>
    <row r="1086" spans="2:13" ht="22.5" outlineLevel="1" x14ac:dyDescent="0.2">
      <c r="B1086" s="92" t="s">
        <v>1007</v>
      </c>
      <c r="C1086" s="341">
        <v>42915</v>
      </c>
      <c r="D1086" s="369">
        <v>43830</v>
      </c>
      <c r="E1086" s="342">
        <v>50</v>
      </c>
      <c r="F1086" s="304"/>
      <c r="G1086" s="252">
        <v>17085.740000000002</v>
      </c>
      <c r="H1086" s="253"/>
      <c r="I1086" s="126">
        <f t="shared" si="78"/>
        <v>17085.740000000002</v>
      </c>
      <c r="J1086" s="126">
        <f t="shared" si="79"/>
        <v>17085.740000000002</v>
      </c>
      <c r="K1086" s="94"/>
      <c r="M1086" s="95"/>
    </row>
    <row r="1087" spans="2:13" ht="22.5" outlineLevel="1" x14ac:dyDescent="0.2">
      <c r="B1087" s="92" t="s">
        <v>1008</v>
      </c>
      <c r="C1087" s="341">
        <v>42765</v>
      </c>
      <c r="D1087" s="369">
        <v>43830</v>
      </c>
      <c r="E1087" s="342">
        <v>80</v>
      </c>
      <c r="F1087" s="254">
        <v>171947.63</v>
      </c>
      <c r="G1087" s="252">
        <v>84420.05</v>
      </c>
      <c r="H1087" s="253"/>
      <c r="I1087" s="126">
        <f t="shared" si="78"/>
        <v>256367.68</v>
      </c>
      <c r="J1087" s="126">
        <f t="shared" si="79"/>
        <v>256367.68</v>
      </c>
      <c r="K1087" s="94"/>
      <c r="M1087" s="95"/>
    </row>
    <row r="1088" spans="2:13" ht="22.5" outlineLevel="1" x14ac:dyDescent="0.2">
      <c r="B1088" s="92" t="s">
        <v>1009</v>
      </c>
      <c r="C1088" s="341">
        <v>42846</v>
      </c>
      <c r="D1088" s="369">
        <v>43830</v>
      </c>
      <c r="E1088" s="342">
        <v>40</v>
      </c>
      <c r="F1088" s="304"/>
      <c r="G1088" s="252">
        <v>2825.44</v>
      </c>
      <c r="H1088" s="253"/>
      <c r="I1088" s="126">
        <f t="shared" si="78"/>
        <v>2825.44</v>
      </c>
      <c r="J1088" s="126">
        <f t="shared" si="79"/>
        <v>2825.44</v>
      </c>
      <c r="K1088" s="94"/>
      <c r="M1088" s="95"/>
    </row>
    <row r="1089" spans="2:13" ht="22.5" outlineLevel="1" x14ac:dyDescent="0.2">
      <c r="B1089" s="92" t="s">
        <v>1010</v>
      </c>
      <c r="C1089" s="341">
        <v>42949</v>
      </c>
      <c r="D1089" s="369">
        <v>43830</v>
      </c>
      <c r="E1089" s="342">
        <v>60</v>
      </c>
      <c r="F1089" s="254">
        <v>807982.16</v>
      </c>
      <c r="G1089" s="252">
        <v>21154.43</v>
      </c>
      <c r="H1089" s="253"/>
      <c r="I1089" s="126">
        <f t="shared" si="78"/>
        <v>829136.59000000008</v>
      </c>
      <c r="J1089" s="126">
        <f t="shared" si="79"/>
        <v>829136.59000000008</v>
      </c>
      <c r="K1089" s="94"/>
      <c r="M1089" s="95"/>
    </row>
    <row r="1090" spans="2:13" ht="22.5" outlineLevel="1" x14ac:dyDescent="0.2">
      <c r="B1090" s="92" t="s">
        <v>1011</v>
      </c>
      <c r="C1090" s="341">
        <v>42668</v>
      </c>
      <c r="D1090" s="369">
        <v>43830</v>
      </c>
      <c r="E1090" s="342">
        <v>40</v>
      </c>
      <c r="F1090" s="304"/>
      <c r="G1090" s="252">
        <v>20870.47</v>
      </c>
      <c r="H1090" s="253"/>
      <c r="I1090" s="126">
        <f t="shared" si="78"/>
        <v>20870.47</v>
      </c>
      <c r="J1090" s="126">
        <f t="shared" si="79"/>
        <v>20870.47</v>
      </c>
      <c r="K1090" s="94"/>
      <c r="M1090" s="95"/>
    </row>
    <row r="1091" spans="2:13" ht="22.5" outlineLevel="1" x14ac:dyDescent="0.2">
      <c r="B1091" s="92" t="s">
        <v>1012</v>
      </c>
      <c r="C1091" s="341">
        <v>42850</v>
      </c>
      <c r="D1091" s="369">
        <v>43830</v>
      </c>
      <c r="E1091" s="342">
        <v>40</v>
      </c>
      <c r="F1091" s="304"/>
      <c r="G1091" s="305">
        <v>15665.96</v>
      </c>
      <c r="H1091" s="253"/>
      <c r="I1091" s="126">
        <f t="shared" si="78"/>
        <v>15665.96</v>
      </c>
      <c r="J1091" s="126">
        <f t="shared" si="79"/>
        <v>15665.96</v>
      </c>
      <c r="K1091" s="94"/>
      <c r="M1091" s="95"/>
    </row>
    <row r="1092" spans="2:13" ht="22.5" outlineLevel="1" x14ac:dyDescent="0.2">
      <c r="B1092" s="92" t="s">
        <v>1013</v>
      </c>
      <c r="C1092" s="341">
        <v>42676</v>
      </c>
      <c r="D1092" s="369">
        <v>43830</v>
      </c>
      <c r="E1092" s="342">
        <v>60</v>
      </c>
      <c r="F1092" s="256">
        <v>136.88999999999999</v>
      </c>
      <c r="G1092" s="252">
        <v>20477.41</v>
      </c>
      <c r="H1092" s="253"/>
      <c r="I1092" s="126">
        <f t="shared" si="78"/>
        <v>20614.3</v>
      </c>
      <c r="J1092" s="126">
        <f t="shared" si="79"/>
        <v>20614.3</v>
      </c>
      <c r="K1092" s="94"/>
      <c r="M1092" s="95"/>
    </row>
    <row r="1093" spans="2:13" ht="22.5" outlineLevel="1" x14ac:dyDescent="0.2">
      <c r="B1093" s="92" t="s">
        <v>1014</v>
      </c>
      <c r="C1093" s="341">
        <v>42950</v>
      </c>
      <c r="D1093" s="369">
        <v>43830</v>
      </c>
      <c r="E1093" s="342">
        <v>60</v>
      </c>
      <c r="F1093" s="304"/>
      <c r="G1093" s="252">
        <v>16787.650000000001</v>
      </c>
      <c r="H1093" s="253"/>
      <c r="I1093" s="126">
        <f t="shared" si="78"/>
        <v>16787.650000000001</v>
      </c>
      <c r="J1093" s="126">
        <f t="shared" si="79"/>
        <v>16787.650000000001</v>
      </c>
      <c r="K1093" s="94"/>
      <c r="M1093" s="95"/>
    </row>
    <row r="1094" spans="2:13" ht="22.5" outlineLevel="1" x14ac:dyDescent="0.2">
      <c r="B1094" s="92" t="s">
        <v>1015</v>
      </c>
      <c r="C1094" s="341">
        <v>42936</v>
      </c>
      <c r="D1094" s="369">
        <v>43830</v>
      </c>
      <c r="E1094" s="342">
        <v>60</v>
      </c>
      <c r="F1094" s="254">
        <v>114286.96</v>
      </c>
      <c r="G1094" s="252">
        <v>10310.56</v>
      </c>
      <c r="H1094" s="253"/>
      <c r="I1094" s="126">
        <f t="shared" si="78"/>
        <v>124597.52</v>
      </c>
      <c r="J1094" s="126">
        <f t="shared" si="79"/>
        <v>124597.52</v>
      </c>
      <c r="K1094" s="94"/>
      <c r="M1094" s="95"/>
    </row>
    <row r="1095" spans="2:13" ht="22.5" outlineLevel="1" x14ac:dyDescent="0.2">
      <c r="B1095" s="92" t="s">
        <v>1016</v>
      </c>
      <c r="C1095" s="341">
        <v>42993</v>
      </c>
      <c r="D1095" s="369">
        <v>43830</v>
      </c>
      <c r="E1095" s="342">
        <v>80</v>
      </c>
      <c r="F1095" s="304"/>
      <c r="G1095" s="305">
        <v>19533.45</v>
      </c>
      <c r="H1095" s="253"/>
      <c r="I1095" s="126">
        <f t="shared" si="78"/>
        <v>19533.45</v>
      </c>
      <c r="J1095" s="126">
        <f t="shared" si="79"/>
        <v>19533.45</v>
      </c>
      <c r="K1095" s="94"/>
      <c r="M1095" s="95"/>
    </row>
    <row r="1096" spans="2:13" ht="22.5" outlineLevel="1" x14ac:dyDescent="0.2">
      <c r="B1096" s="92" t="s">
        <v>1017</v>
      </c>
      <c r="C1096" s="341">
        <v>43055</v>
      </c>
      <c r="D1096" s="369">
        <v>43830</v>
      </c>
      <c r="E1096" s="342">
        <v>90</v>
      </c>
      <c r="F1096" s="254">
        <v>46978.81</v>
      </c>
      <c r="G1096" s="252">
        <v>6953</v>
      </c>
      <c r="H1096" s="253"/>
      <c r="I1096" s="126">
        <f t="shared" si="78"/>
        <v>53931.81</v>
      </c>
      <c r="J1096" s="126">
        <f t="shared" si="79"/>
        <v>53931.81</v>
      </c>
      <c r="K1096" s="94"/>
      <c r="M1096" s="95"/>
    </row>
    <row r="1097" spans="2:13" ht="22.5" outlineLevel="1" x14ac:dyDescent="0.2">
      <c r="B1097" s="92" t="s">
        <v>1018</v>
      </c>
      <c r="C1097" s="341">
        <v>43026</v>
      </c>
      <c r="D1097" s="369">
        <v>43830</v>
      </c>
      <c r="E1097" s="342">
        <v>95</v>
      </c>
      <c r="F1097" s="255">
        <v>72313.3</v>
      </c>
      <c r="G1097" s="252">
        <v>34540.769999999997</v>
      </c>
      <c r="H1097" s="253"/>
      <c r="I1097" s="126">
        <f t="shared" si="78"/>
        <v>106854.07</v>
      </c>
      <c r="J1097" s="126">
        <f t="shared" si="79"/>
        <v>106854.07</v>
      </c>
      <c r="K1097" s="94"/>
      <c r="M1097" s="95"/>
    </row>
    <row r="1098" spans="2:13" ht="12.75" outlineLevel="1" x14ac:dyDescent="0.2">
      <c r="B1098" s="92" t="s">
        <v>1019</v>
      </c>
      <c r="C1098" s="341">
        <v>42971</v>
      </c>
      <c r="D1098" s="369">
        <v>43830</v>
      </c>
      <c r="E1098" s="342">
        <v>60</v>
      </c>
      <c r="F1098" s="254">
        <v>39747.03</v>
      </c>
      <c r="G1098" s="252">
        <v>8963.49</v>
      </c>
      <c r="H1098" s="253"/>
      <c r="I1098" s="126">
        <f t="shared" si="78"/>
        <v>48710.52</v>
      </c>
      <c r="J1098" s="126">
        <f t="shared" si="79"/>
        <v>48710.52</v>
      </c>
      <c r="K1098" s="94"/>
      <c r="M1098" s="95"/>
    </row>
    <row r="1099" spans="2:13" ht="22.5" outlineLevel="1" x14ac:dyDescent="0.2">
      <c r="B1099" s="92" t="s">
        <v>1020</v>
      </c>
      <c r="C1099" s="341">
        <v>42984</v>
      </c>
      <c r="D1099" s="369">
        <v>43830</v>
      </c>
      <c r="E1099" s="342">
        <v>60</v>
      </c>
      <c r="F1099" s="254">
        <v>36741.31</v>
      </c>
      <c r="G1099" s="252">
        <v>6711.41</v>
      </c>
      <c r="H1099" s="253"/>
      <c r="I1099" s="126">
        <f t="shared" si="78"/>
        <v>43452.72</v>
      </c>
      <c r="J1099" s="126">
        <f t="shared" si="79"/>
        <v>43452.72</v>
      </c>
      <c r="K1099" s="94"/>
      <c r="M1099" s="95"/>
    </row>
    <row r="1100" spans="2:13" ht="12.75" outlineLevel="1" x14ac:dyDescent="0.2">
      <c r="B1100" s="92" t="s">
        <v>1021</v>
      </c>
      <c r="C1100" s="341">
        <v>42555</v>
      </c>
      <c r="D1100" s="369">
        <v>43830</v>
      </c>
      <c r="E1100" s="342">
        <v>70</v>
      </c>
      <c r="F1100" s="304"/>
      <c r="G1100" s="252">
        <v>7078.57</v>
      </c>
      <c r="H1100" s="253"/>
      <c r="I1100" s="126">
        <f t="shared" si="78"/>
        <v>7078.57</v>
      </c>
      <c r="J1100" s="126">
        <f t="shared" si="79"/>
        <v>7078.57</v>
      </c>
      <c r="K1100" s="94"/>
      <c r="M1100" s="95"/>
    </row>
    <row r="1101" spans="2:13" ht="22.5" outlineLevel="1" x14ac:dyDescent="0.2">
      <c r="B1101" s="92" t="s">
        <v>1022</v>
      </c>
      <c r="C1101" s="341">
        <v>43005</v>
      </c>
      <c r="D1101" s="369">
        <v>43830</v>
      </c>
      <c r="E1101" s="342">
        <v>50</v>
      </c>
      <c r="F1101" s="304"/>
      <c r="G1101" s="305">
        <v>13586.56</v>
      </c>
      <c r="H1101" s="253"/>
      <c r="I1101" s="126">
        <f t="shared" si="78"/>
        <v>13586.56</v>
      </c>
      <c r="J1101" s="126">
        <f t="shared" si="79"/>
        <v>13586.56</v>
      </c>
      <c r="K1101" s="94"/>
      <c r="M1101" s="95"/>
    </row>
    <row r="1102" spans="2:13" ht="12.75" outlineLevel="1" x14ac:dyDescent="0.2">
      <c r="B1102" s="92" t="s">
        <v>1023</v>
      </c>
      <c r="C1102" s="341">
        <v>43032</v>
      </c>
      <c r="D1102" s="369">
        <v>43830</v>
      </c>
      <c r="E1102" s="342">
        <v>55</v>
      </c>
      <c r="F1102" s="254">
        <v>159122.68</v>
      </c>
      <c r="G1102" s="252">
        <v>11669.42</v>
      </c>
      <c r="H1102" s="253"/>
      <c r="I1102" s="126">
        <f t="shared" si="78"/>
        <v>170792.1</v>
      </c>
      <c r="J1102" s="126">
        <f t="shared" si="79"/>
        <v>170792.1</v>
      </c>
      <c r="K1102" s="94"/>
      <c r="M1102" s="95"/>
    </row>
    <row r="1103" spans="2:13" ht="22.5" outlineLevel="1" x14ac:dyDescent="0.2">
      <c r="B1103" s="92" t="s">
        <v>1024</v>
      </c>
      <c r="C1103" s="341">
        <v>43052</v>
      </c>
      <c r="D1103" s="369">
        <v>43830</v>
      </c>
      <c r="E1103" s="342">
        <v>90</v>
      </c>
      <c r="F1103" s="254">
        <v>29438.639999999999</v>
      </c>
      <c r="G1103" s="252">
        <v>8963.49</v>
      </c>
      <c r="H1103" s="253"/>
      <c r="I1103" s="126">
        <f t="shared" si="78"/>
        <v>38402.129999999997</v>
      </c>
      <c r="J1103" s="126">
        <f t="shared" si="79"/>
        <v>38402.129999999997</v>
      </c>
      <c r="K1103" s="94"/>
      <c r="M1103" s="95"/>
    </row>
    <row r="1104" spans="2:13" ht="22.5" outlineLevel="1" x14ac:dyDescent="0.2">
      <c r="B1104" s="92" t="s">
        <v>1025</v>
      </c>
      <c r="C1104" s="341">
        <v>42999</v>
      </c>
      <c r="D1104" s="369">
        <v>43830</v>
      </c>
      <c r="E1104" s="342">
        <v>80</v>
      </c>
      <c r="F1104" s="254">
        <v>230966.43</v>
      </c>
      <c r="G1104" s="252">
        <v>17209.73</v>
      </c>
      <c r="H1104" s="253"/>
      <c r="I1104" s="126">
        <f t="shared" si="78"/>
        <v>248176.16</v>
      </c>
      <c r="J1104" s="126">
        <f t="shared" si="79"/>
        <v>248176.16</v>
      </c>
      <c r="K1104" s="94"/>
      <c r="M1104" s="95"/>
    </row>
    <row r="1105" spans="2:13" ht="22.5" outlineLevel="1" x14ac:dyDescent="0.2">
      <c r="B1105" s="92" t="s">
        <v>1026</v>
      </c>
      <c r="C1105" s="341">
        <v>42985</v>
      </c>
      <c r="D1105" s="369">
        <v>43830</v>
      </c>
      <c r="E1105" s="342">
        <v>50</v>
      </c>
      <c r="F1105" s="254">
        <v>33576.75</v>
      </c>
      <c r="G1105" s="252">
        <v>51728.07</v>
      </c>
      <c r="H1105" s="253"/>
      <c r="I1105" s="126">
        <f t="shared" si="78"/>
        <v>85304.82</v>
      </c>
      <c r="J1105" s="126">
        <f t="shared" si="79"/>
        <v>85304.82</v>
      </c>
      <c r="K1105" s="94"/>
      <c r="M1105" s="95"/>
    </row>
    <row r="1106" spans="2:13" ht="22.5" outlineLevel="1" x14ac:dyDescent="0.2">
      <c r="B1106" s="92" t="s">
        <v>1027</v>
      </c>
      <c r="C1106" s="341">
        <v>42985</v>
      </c>
      <c r="D1106" s="369">
        <v>43830</v>
      </c>
      <c r="E1106" s="342">
        <v>70</v>
      </c>
      <c r="F1106" s="254">
        <v>7624.37</v>
      </c>
      <c r="G1106" s="305">
        <v>6485.52</v>
      </c>
      <c r="H1106" s="253"/>
      <c r="I1106" s="126">
        <f t="shared" si="78"/>
        <v>14109.89</v>
      </c>
      <c r="J1106" s="126">
        <f t="shared" si="79"/>
        <v>14109.89</v>
      </c>
      <c r="K1106" s="94"/>
      <c r="M1106" s="95"/>
    </row>
    <row r="1107" spans="2:13" ht="22.5" outlineLevel="1" x14ac:dyDescent="0.2">
      <c r="B1107" s="92" t="s">
        <v>1028</v>
      </c>
      <c r="C1107" s="341">
        <v>42985</v>
      </c>
      <c r="D1107" s="369">
        <v>43830</v>
      </c>
      <c r="E1107" s="342">
        <v>70</v>
      </c>
      <c r="F1107" s="254">
        <v>5764.64</v>
      </c>
      <c r="G1107" s="305">
        <v>6485.52</v>
      </c>
      <c r="H1107" s="253"/>
      <c r="I1107" s="126">
        <f t="shared" si="78"/>
        <v>12250.16</v>
      </c>
      <c r="J1107" s="126">
        <f t="shared" si="79"/>
        <v>12250.16</v>
      </c>
      <c r="K1107" s="94"/>
      <c r="M1107" s="95"/>
    </row>
    <row r="1108" spans="2:13" ht="12.75" outlineLevel="1" x14ac:dyDescent="0.2">
      <c r="B1108" s="92" t="s">
        <v>1029</v>
      </c>
      <c r="C1108" s="341">
        <v>43063</v>
      </c>
      <c r="D1108" s="369">
        <v>43830</v>
      </c>
      <c r="E1108" s="342">
        <v>70</v>
      </c>
      <c r="F1108" s="304"/>
      <c r="G1108" s="252">
        <v>8792.09</v>
      </c>
      <c r="H1108" s="253"/>
      <c r="I1108" s="126">
        <f t="shared" si="78"/>
        <v>8792.09</v>
      </c>
      <c r="J1108" s="126">
        <f t="shared" si="79"/>
        <v>8792.09</v>
      </c>
      <c r="K1108" s="94"/>
      <c r="M1108" s="95"/>
    </row>
    <row r="1109" spans="2:13" ht="12.75" outlineLevel="1" x14ac:dyDescent="0.2">
      <c r="B1109" s="92" t="s">
        <v>1030</v>
      </c>
      <c r="C1109" s="341">
        <v>43083</v>
      </c>
      <c r="D1109" s="369">
        <v>43830</v>
      </c>
      <c r="E1109" s="342">
        <v>60</v>
      </c>
      <c r="F1109" s="254">
        <v>113302.94</v>
      </c>
      <c r="G1109" s="305">
        <v>14021.44</v>
      </c>
      <c r="H1109" s="253"/>
      <c r="I1109" s="126">
        <f t="shared" si="78"/>
        <v>127324.38</v>
      </c>
      <c r="J1109" s="126">
        <f t="shared" si="79"/>
        <v>127324.38</v>
      </c>
      <c r="K1109" s="94"/>
      <c r="M1109" s="95"/>
    </row>
    <row r="1110" spans="2:13" ht="12.75" outlineLevel="1" x14ac:dyDescent="0.2">
      <c r="B1110" s="92" t="s">
        <v>1031</v>
      </c>
      <c r="C1110" s="375" t="s">
        <v>1032</v>
      </c>
      <c r="D1110" s="369">
        <v>43830</v>
      </c>
      <c r="E1110" s="342">
        <v>30</v>
      </c>
      <c r="F1110" s="304"/>
      <c r="G1110" s="252">
        <v>5719.5</v>
      </c>
      <c r="H1110" s="253"/>
      <c r="I1110" s="126">
        <f t="shared" ref="I1110:I1173" si="80">F1110+G1110+H1110</f>
        <v>5719.5</v>
      </c>
      <c r="J1110" s="126">
        <f t="shared" ref="J1110:J1173" si="81">I1110</f>
        <v>5719.5</v>
      </c>
      <c r="K1110" s="94"/>
      <c r="M1110" s="95"/>
    </row>
    <row r="1111" spans="2:13" ht="12.75" outlineLevel="1" x14ac:dyDescent="0.2">
      <c r="B1111" s="92" t="s">
        <v>1033</v>
      </c>
      <c r="C1111" s="341">
        <v>43011</v>
      </c>
      <c r="D1111" s="369">
        <v>43830</v>
      </c>
      <c r="E1111" s="342">
        <v>40</v>
      </c>
      <c r="F1111" s="254">
        <v>188922.33</v>
      </c>
      <c r="G1111" s="252">
        <v>25407.79</v>
      </c>
      <c r="H1111" s="253"/>
      <c r="I1111" s="126">
        <f t="shared" si="80"/>
        <v>214330.12</v>
      </c>
      <c r="J1111" s="126">
        <f t="shared" si="81"/>
        <v>214330.12</v>
      </c>
      <c r="K1111" s="94"/>
      <c r="M1111" s="95"/>
    </row>
    <row r="1112" spans="2:13" ht="12.75" outlineLevel="1" x14ac:dyDescent="0.2">
      <c r="B1112" s="92" t="s">
        <v>1034</v>
      </c>
      <c r="C1112" s="341">
        <v>42873</v>
      </c>
      <c r="D1112" s="369">
        <v>43830</v>
      </c>
      <c r="E1112" s="342">
        <v>60</v>
      </c>
      <c r="F1112" s="304"/>
      <c r="G1112" s="252">
        <v>24731.96</v>
      </c>
      <c r="H1112" s="253"/>
      <c r="I1112" s="126">
        <f t="shared" si="80"/>
        <v>24731.96</v>
      </c>
      <c r="J1112" s="126">
        <f t="shared" si="81"/>
        <v>24731.96</v>
      </c>
      <c r="K1112" s="94"/>
      <c r="M1112" s="95"/>
    </row>
    <row r="1113" spans="2:13" ht="12.75" outlineLevel="1" x14ac:dyDescent="0.2">
      <c r="B1113" s="92" t="s">
        <v>1035</v>
      </c>
      <c r="C1113" s="341">
        <v>43007</v>
      </c>
      <c r="D1113" s="369">
        <v>43830</v>
      </c>
      <c r="E1113" s="342">
        <v>70</v>
      </c>
      <c r="F1113" s="304"/>
      <c r="G1113" s="252">
        <v>2825.44</v>
      </c>
      <c r="H1113" s="253"/>
      <c r="I1113" s="126">
        <f t="shared" si="80"/>
        <v>2825.44</v>
      </c>
      <c r="J1113" s="126">
        <f t="shared" si="81"/>
        <v>2825.44</v>
      </c>
      <c r="K1113" s="94"/>
      <c r="M1113" s="95"/>
    </row>
    <row r="1114" spans="2:13" ht="12.75" outlineLevel="1" x14ac:dyDescent="0.2">
      <c r="B1114" s="92" t="s">
        <v>1036</v>
      </c>
      <c r="C1114" s="341">
        <v>43004</v>
      </c>
      <c r="D1114" s="369">
        <v>43830</v>
      </c>
      <c r="E1114" s="342">
        <v>60</v>
      </c>
      <c r="F1114" s="304"/>
      <c r="G1114" s="252">
        <v>2252.08</v>
      </c>
      <c r="H1114" s="253"/>
      <c r="I1114" s="126">
        <f t="shared" si="80"/>
        <v>2252.08</v>
      </c>
      <c r="J1114" s="126">
        <f t="shared" si="81"/>
        <v>2252.08</v>
      </c>
      <c r="K1114" s="94"/>
      <c r="M1114" s="95"/>
    </row>
    <row r="1115" spans="2:13" ht="12.75" outlineLevel="1" x14ac:dyDescent="0.2">
      <c r="B1115" s="92" t="s">
        <v>1037</v>
      </c>
      <c r="C1115" s="341">
        <v>42975</v>
      </c>
      <c r="D1115" s="369">
        <v>43830</v>
      </c>
      <c r="E1115" s="342">
        <v>50</v>
      </c>
      <c r="F1115" s="254">
        <v>425794.11</v>
      </c>
      <c r="G1115" s="305">
        <v>10083.700000000001</v>
      </c>
      <c r="H1115" s="253"/>
      <c r="I1115" s="126">
        <f t="shared" si="80"/>
        <v>435877.81</v>
      </c>
      <c r="J1115" s="126">
        <f t="shared" si="81"/>
        <v>435877.81</v>
      </c>
      <c r="K1115" s="94"/>
      <c r="M1115" s="95"/>
    </row>
    <row r="1116" spans="2:13" ht="12.75" outlineLevel="1" x14ac:dyDescent="0.2">
      <c r="B1116" s="92" t="s">
        <v>1038</v>
      </c>
      <c r="C1116" s="341">
        <v>43054</v>
      </c>
      <c r="D1116" s="369">
        <v>43830</v>
      </c>
      <c r="E1116" s="342">
        <v>80</v>
      </c>
      <c r="F1116" s="254">
        <v>101531.29</v>
      </c>
      <c r="G1116" s="252">
        <v>22356.13</v>
      </c>
      <c r="H1116" s="253"/>
      <c r="I1116" s="126">
        <f t="shared" si="80"/>
        <v>123887.42</v>
      </c>
      <c r="J1116" s="126">
        <f t="shared" si="81"/>
        <v>123887.42</v>
      </c>
      <c r="K1116" s="94"/>
      <c r="M1116" s="95"/>
    </row>
    <row r="1117" spans="2:13" ht="12.75" outlineLevel="1" x14ac:dyDescent="0.2">
      <c r="B1117" s="92" t="s">
        <v>1039</v>
      </c>
      <c r="C1117" s="341">
        <v>43054</v>
      </c>
      <c r="D1117" s="369">
        <v>43830</v>
      </c>
      <c r="E1117" s="342">
        <v>60</v>
      </c>
      <c r="F1117" s="254">
        <v>75508.649999999994</v>
      </c>
      <c r="G1117" s="252">
        <v>29737.08</v>
      </c>
      <c r="H1117" s="253"/>
      <c r="I1117" s="126">
        <f t="shared" si="80"/>
        <v>105245.73</v>
      </c>
      <c r="J1117" s="126">
        <f t="shared" si="81"/>
        <v>105245.73</v>
      </c>
      <c r="K1117" s="94"/>
      <c r="M1117" s="95"/>
    </row>
    <row r="1118" spans="2:13" ht="12.75" outlineLevel="1" x14ac:dyDescent="0.2">
      <c r="B1118" s="92" t="s">
        <v>1040</v>
      </c>
      <c r="C1118" s="341">
        <v>42936</v>
      </c>
      <c r="D1118" s="369">
        <v>43830</v>
      </c>
      <c r="E1118" s="342">
        <v>50</v>
      </c>
      <c r="F1118" s="304"/>
      <c r="G1118" s="252">
        <v>15193.36</v>
      </c>
      <c r="H1118" s="253"/>
      <c r="I1118" s="126">
        <f t="shared" si="80"/>
        <v>15193.36</v>
      </c>
      <c r="J1118" s="126">
        <f t="shared" si="81"/>
        <v>15193.36</v>
      </c>
      <c r="K1118" s="94"/>
      <c r="M1118" s="95"/>
    </row>
    <row r="1119" spans="2:13" ht="12.75" outlineLevel="1" x14ac:dyDescent="0.2">
      <c r="B1119" s="92" t="s">
        <v>1041</v>
      </c>
      <c r="C1119" s="341">
        <v>42978</v>
      </c>
      <c r="D1119" s="369">
        <v>43830</v>
      </c>
      <c r="E1119" s="342">
        <v>40</v>
      </c>
      <c r="F1119" s="304"/>
      <c r="G1119" s="305">
        <v>2252.08</v>
      </c>
      <c r="H1119" s="253"/>
      <c r="I1119" s="126">
        <f t="shared" si="80"/>
        <v>2252.08</v>
      </c>
      <c r="J1119" s="126">
        <f t="shared" si="81"/>
        <v>2252.08</v>
      </c>
      <c r="K1119" s="94"/>
      <c r="M1119" s="95"/>
    </row>
    <row r="1120" spans="2:13" ht="22.5" outlineLevel="1" x14ac:dyDescent="0.2">
      <c r="B1120" s="92" t="s">
        <v>1042</v>
      </c>
      <c r="C1120" s="341">
        <v>42859</v>
      </c>
      <c r="D1120" s="369">
        <v>43830</v>
      </c>
      <c r="E1120" s="342">
        <v>60</v>
      </c>
      <c r="F1120" s="304"/>
      <c r="G1120" s="305">
        <v>17597.89</v>
      </c>
      <c r="H1120" s="253"/>
      <c r="I1120" s="126">
        <f t="shared" si="80"/>
        <v>17597.89</v>
      </c>
      <c r="J1120" s="126">
        <f t="shared" si="81"/>
        <v>17597.89</v>
      </c>
      <c r="K1120" s="94"/>
      <c r="M1120" s="95"/>
    </row>
    <row r="1121" spans="2:13" ht="12.75" outlineLevel="1" x14ac:dyDescent="0.2">
      <c r="B1121" s="92" t="s">
        <v>1043</v>
      </c>
      <c r="C1121" s="341">
        <v>43046</v>
      </c>
      <c r="D1121" s="369">
        <v>43830</v>
      </c>
      <c r="E1121" s="342">
        <v>40</v>
      </c>
      <c r="F1121" s="254">
        <v>34694.42</v>
      </c>
      <c r="G1121" s="252">
        <v>10953.16</v>
      </c>
      <c r="H1121" s="253"/>
      <c r="I1121" s="126">
        <f t="shared" si="80"/>
        <v>45647.58</v>
      </c>
      <c r="J1121" s="126">
        <f t="shared" si="81"/>
        <v>45647.58</v>
      </c>
      <c r="K1121" s="94"/>
      <c r="M1121" s="95"/>
    </row>
    <row r="1122" spans="2:13" ht="22.5" outlineLevel="1" x14ac:dyDescent="0.2">
      <c r="B1122" s="92" t="s">
        <v>1044</v>
      </c>
      <c r="C1122" s="341">
        <v>43017</v>
      </c>
      <c r="D1122" s="369">
        <v>43830</v>
      </c>
      <c r="E1122" s="342">
        <v>65</v>
      </c>
      <c r="F1122" s="254">
        <v>164731.78</v>
      </c>
      <c r="G1122" s="252">
        <v>28622.13</v>
      </c>
      <c r="H1122" s="253"/>
      <c r="I1122" s="126">
        <f t="shared" si="80"/>
        <v>193353.91</v>
      </c>
      <c r="J1122" s="126">
        <f t="shared" si="81"/>
        <v>193353.91</v>
      </c>
      <c r="K1122" s="94"/>
      <c r="M1122" s="95"/>
    </row>
    <row r="1123" spans="2:13" ht="22.5" outlineLevel="1" x14ac:dyDescent="0.2">
      <c r="B1123" s="92" t="s">
        <v>1045</v>
      </c>
      <c r="C1123" s="341">
        <v>43061</v>
      </c>
      <c r="D1123" s="369">
        <v>43830</v>
      </c>
      <c r="E1123" s="342">
        <v>50</v>
      </c>
      <c r="F1123" s="304"/>
      <c r="G1123" s="305">
        <v>28871.68</v>
      </c>
      <c r="H1123" s="253"/>
      <c r="I1123" s="126">
        <f t="shared" si="80"/>
        <v>28871.68</v>
      </c>
      <c r="J1123" s="126">
        <f t="shared" si="81"/>
        <v>28871.68</v>
      </c>
      <c r="K1123" s="94"/>
      <c r="M1123" s="95"/>
    </row>
    <row r="1124" spans="2:13" ht="12.75" outlineLevel="1" x14ac:dyDescent="0.2">
      <c r="B1124" s="92" t="s">
        <v>1046</v>
      </c>
      <c r="C1124" s="341">
        <v>43060</v>
      </c>
      <c r="D1124" s="369">
        <v>43830</v>
      </c>
      <c r="E1124" s="342">
        <v>50</v>
      </c>
      <c r="F1124" s="304"/>
      <c r="G1124" s="252">
        <v>10726.22</v>
      </c>
      <c r="H1124" s="253"/>
      <c r="I1124" s="126">
        <f t="shared" si="80"/>
        <v>10726.22</v>
      </c>
      <c r="J1124" s="126">
        <f t="shared" si="81"/>
        <v>10726.22</v>
      </c>
      <c r="K1124" s="94"/>
      <c r="M1124" s="95"/>
    </row>
    <row r="1125" spans="2:13" ht="12.75" outlineLevel="1" x14ac:dyDescent="0.2">
      <c r="B1125" s="92" t="s">
        <v>1047</v>
      </c>
      <c r="C1125" s="341">
        <v>43040</v>
      </c>
      <c r="D1125" s="369">
        <v>43830</v>
      </c>
      <c r="E1125" s="342">
        <v>50</v>
      </c>
      <c r="F1125" s="304"/>
      <c r="G1125" s="252">
        <v>16740.68</v>
      </c>
      <c r="H1125" s="253"/>
      <c r="I1125" s="126">
        <f t="shared" si="80"/>
        <v>16740.68</v>
      </c>
      <c r="J1125" s="126">
        <f t="shared" si="81"/>
        <v>16740.68</v>
      </c>
      <c r="K1125" s="94"/>
      <c r="M1125" s="95"/>
    </row>
    <row r="1126" spans="2:13" ht="22.5" outlineLevel="1" x14ac:dyDescent="0.2">
      <c r="B1126" s="92" t="s">
        <v>1048</v>
      </c>
      <c r="C1126" s="341">
        <v>42782</v>
      </c>
      <c r="D1126" s="369">
        <v>43830</v>
      </c>
      <c r="E1126" s="342">
        <v>90</v>
      </c>
      <c r="F1126" s="255">
        <v>515782.2</v>
      </c>
      <c r="G1126" s="252">
        <v>64377.5</v>
      </c>
      <c r="H1126" s="253"/>
      <c r="I1126" s="126">
        <f t="shared" si="80"/>
        <v>580159.69999999995</v>
      </c>
      <c r="J1126" s="126">
        <f t="shared" si="81"/>
        <v>580159.69999999995</v>
      </c>
      <c r="K1126" s="94"/>
      <c r="M1126" s="95"/>
    </row>
    <row r="1127" spans="2:13" ht="12.75" outlineLevel="1" x14ac:dyDescent="0.2">
      <c r="B1127" s="92" t="s">
        <v>1049</v>
      </c>
      <c r="C1127" s="341">
        <v>43031</v>
      </c>
      <c r="D1127" s="369">
        <v>43830</v>
      </c>
      <c r="E1127" s="342">
        <v>50</v>
      </c>
      <c r="F1127" s="304"/>
      <c r="G1127" s="252">
        <v>11779.5</v>
      </c>
      <c r="H1127" s="253"/>
      <c r="I1127" s="126">
        <f t="shared" si="80"/>
        <v>11779.5</v>
      </c>
      <c r="J1127" s="126">
        <f t="shared" si="81"/>
        <v>11779.5</v>
      </c>
      <c r="K1127" s="94"/>
      <c r="M1127" s="95"/>
    </row>
    <row r="1128" spans="2:13" ht="22.5" outlineLevel="1" x14ac:dyDescent="0.2">
      <c r="B1128" s="92" t="s">
        <v>1050</v>
      </c>
      <c r="C1128" s="341">
        <v>43069</v>
      </c>
      <c r="D1128" s="369">
        <v>43830</v>
      </c>
      <c r="E1128" s="342">
        <v>30</v>
      </c>
      <c r="F1128" s="304"/>
      <c r="G1128" s="252">
        <v>11779.5</v>
      </c>
      <c r="H1128" s="253"/>
      <c r="I1128" s="126">
        <f t="shared" si="80"/>
        <v>11779.5</v>
      </c>
      <c r="J1128" s="126">
        <f t="shared" si="81"/>
        <v>11779.5</v>
      </c>
      <c r="K1128" s="94"/>
      <c r="M1128" s="95"/>
    </row>
    <row r="1129" spans="2:13" ht="12.75" outlineLevel="1" x14ac:dyDescent="0.2">
      <c r="B1129" s="92" t="s">
        <v>1051</v>
      </c>
      <c r="C1129" s="341">
        <v>43082</v>
      </c>
      <c r="D1129" s="369">
        <v>43830</v>
      </c>
      <c r="E1129" s="342">
        <v>50</v>
      </c>
      <c r="F1129" s="254">
        <v>1776.47</v>
      </c>
      <c r="G1129" s="252">
        <v>11779.5</v>
      </c>
      <c r="H1129" s="253"/>
      <c r="I1129" s="126">
        <f t="shared" si="80"/>
        <v>13555.97</v>
      </c>
      <c r="J1129" s="126">
        <f t="shared" si="81"/>
        <v>13555.97</v>
      </c>
      <c r="K1129" s="94"/>
      <c r="M1129" s="95"/>
    </row>
    <row r="1130" spans="2:13" ht="22.5" outlineLevel="1" x14ac:dyDescent="0.2">
      <c r="B1130" s="92" t="s">
        <v>1052</v>
      </c>
      <c r="C1130" s="341">
        <v>43033</v>
      </c>
      <c r="D1130" s="369">
        <v>43830</v>
      </c>
      <c r="E1130" s="342">
        <v>50</v>
      </c>
      <c r="F1130" s="254">
        <v>107638.46</v>
      </c>
      <c r="G1130" s="252">
        <v>17725.939999999999</v>
      </c>
      <c r="H1130" s="253"/>
      <c r="I1130" s="126">
        <f t="shared" si="80"/>
        <v>125364.40000000001</v>
      </c>
      <c r="J1130" s="126">
        <f t="shared" si="81"/>
        <v>125364.40000000001</v>
      </c>
      <c r="K1130" s="94"/>
      <c r="M1130" s="95"/>
    </row>
    <row r="1131" spans="2:13" ht="12.75" outlineLevel="1" x14ac:dyDescent="0.2">
      <c r="B1131" s="92" t="s">
        <v>1053</v>
      </c>
      <c r="C1131" s="341">
        <v>43088</v>
      </c>
      <c r="D1131" s="369">
        <v>43830</v>
      </c>
      <c r="E1131" s="342">
        <v>80</v>
      </c>
      <c r="F1131" s="254">
        <v>41323.86</v>
      </c>
      <c r="G1131" s="252">
        <v>5034.95</v>
      </c>
      <c r="H1131" s="253"/>
      <c r="I1131" s="126">
        <f t="shared" si="80"/>
        <v>46358.81</v>
      </c>
      <c r="J1131" s="126">
        <f t="shared" si="81"/>
        <v>46358.81</v>
      </c>
      <c r="K1131" s="94"/>
      <c r="M1131" s="95"/>
    </row>
    <row r="1132" spans="2:13" ht="12.75" outlineLevel="1" x14ac:dyDescent="0.2">
      <c r="B1132" s="92" t="s">
        <v>1054</v>
      </c>
      <c r="C1132" s="341">
        <v>43088</v>
      </c>
      <c r="D1132" s="369">
        <v>43830</v>
      </c>
      <c r="E1132" s="342">
        <v>80</v>
      </c>
      <c r="F1132" s="255">
        <v>32181.7</v>
      </c>
      <c r="G1132" s="252">
        <v>11693.23</v>
      </c>
      <c r="H1132" s="253"/>
      <c r="I1132" s="126">
        <f t="shared" si="80"/>
        <v>43874.93</v>
      </c>
      <c r="J1132" s="126">
        <f t="shared" si="81"/>
        <v>43874.93</v>
      </c>
      <c r="K1132" s="94"/>
      <c r="M1132" s="95"/>
    </row>
    <row r="1133" spans="2:13" ht="22.5" outlineLevel="1" x14ac:dyDescent="0.2">
      <c r="B1133" s="92" t="s">
        <v>1055</v>
      </c>
      <c r="C1133" s="341">
        <v>43096</v>
      </c>
      <c r="D1133" s="369">
        <v>43830</v>
      </c>
      <c r="E1133" s="342">
        <v>60</v>
      </c>
      <c r="F1133" s="304"/>
      <c r="G1133" s="252">
        <v>8402.6200000000008</v>
      </c>
      <c r="H1133" s="253"/>
      <c r="I1133" s="126">
        <f t="shared" si="80"/>
        <v>8402.6200000000008</v>
      </c>
      <c r="J1133" s="126">
        <f t="shared" si="81"/>
        <v>8402.6200000000008</v>
      </c>
      <c r="K1133" s="94"/>
      <c r="M1133" s="95"/>
    </row>
    <row r="1134" spans="2:13" ht="12.75" outlineLevel="1" x14ac:dyDescent="0.2">
      <c r="B1134" s="92" t="s">
        <v>1056</v>
      </c>
      <c r="C1134" s="341">
        <v>42886</v>
      </c>
      <c r="D1134" s="369">
        <v>43830</v>
      </c>
      <c r="E1134" s="342">
        <v>70</v>
      </c>
      <c r="F1134" s="254">
        <v>44415.38</v>
      </c>
      <c r="G1134" s="252">
        <v>64666.6</v>
      </c>
      <c r="H1134" s="253"/>
      <c r="I1134" s="126">
        <f t="shared" si="80"/>
        <v>109081.98</v>
      </c>
      <c r="J1134" s="126">
        <f t="shared" si="81"/>
        <v>109081.98</v>
      </c>
      <c r="K1134" s="94"/>
      <c r="M1134" s="95"/>
    </row>
    <row r="1135" spans="2:13" ht="12.75" outlineLevel="1" x14ac:dyDescent="0.2">
      <c r="B1135" s="92" t="s">
        <v>1057</v>
      </c>
      <c r="C1135" s="341">
        <v>43010</v>
      </c>
      <c r="D1135" s="369">
        <v>43830</v>
      </c>
      <c r="E1135" s="342">
        <v>60</v>
      </c>
      <c r="F1135" s="254">
        <v>29605.18</v>
      </c>
      <c r="G1135" s="252">
        <v>7867.04</v>
      </c>
      <c r="H1135" s="253"/>
      <c r="I1135" s="126">
        <f t="shared" si="80"/>
        <v>37472.22</v>
      </c>
      <c r="J1135" s="126">
        <f t="shared" si="81"/>
        <v>37472.22</v>
      </c>
      <c r="K1135" s="94"/>
      <c r="M1135" s="95"/>
    </row>
    <row r="1136" spans="2:13" ht="12.75" outlineLevel="1" x14ac:dyDescent="0.2">
      <c r="B1136" s="92" t="s">
        <v>1058</v>
      </c>
      <c r="C1136" s="341">
        <v>43082</v>
      </c>
      <c r="D1136" s="369">
        <v>43830</v>
      </c>
      <c r="E1136" s="342">
        <v>75</v>
      </c>
      <c r="F1136" s="254">
        <v>31160.66</v>
      </c>
      <c r="G1136" s="252">
        <v>11021.18</v>
      </c>
      <c r="H1136" s="253"/>
      <c r="I1136" s="126">
        <f t="shared" si="80"/>
        <v>42181.84</v>
      </c>
      <c r="J1136" s="126">
        <f t="shared" si="81"/>
        <v>42181.84</v>
      </c>
      <c r="K1136" s="94"/>
      <c r="M1136" s="95"/>
    </row>
    <row r="1137" spans="2:13" ht="22.5" outlineLevel="1" x14ac:dyDescent="0.2">
      <c r="B1137" s="92" t="s">
        <v>1059</v>
      </c>
      <c r="C1137" s="341">
        <v>43125</v>
      </c>
      <c r="D1137" s="369">
        <v>43830</v>
      </c>
      <c r="E1137" s="342">
        <v>70</v>
      </c>
      <c r="F1137" s="254">
        <v>33579.550000000003</v>
      </c>
      <c r="G1137" s="252">
        <v>11184.16</v>
      </c>
      <c r="H1137" s="253"/>
      <c r="I1137" s="126">
        <f t="shared" si="80"/>
        <v>44763.710000000006</v>
      </c>
      <c r="J1137" s="126">
        <f t="shared" si="81"/>
        <v>44763.710000000006</v>
      </c>
      <c r="K1137" s="94"/>
      <c r="M1137" s="95"/>
    </row>
    <row r="1138" spans="2:13" ht="22.5" outlineLevel="1" x14ac:dyDescent="0.2">
      <c r="B1138" s="92" t="s">
        <v>1060</v>
      </c>
      <c r="C1138" s="341">
        <v>43089</v>
      </c>
      <c r="D1138" s="369">
        <v>43830</v>
      </c>
      <c r="E1138" s="342">
        <v>70</v>
      </c>
      <c r="F1138" s="254">
        <v>358005.12</v>
      </c>
      <c r="G1138" s="252">
        <v>18678.240000000002</v>
      </c>
      <c r="H1138" s="253"/>
      <c r="I1138" s="126">
        <f t="shared" si="80"/>
        <v>376683.36</v>
      </c>
      <c r="J1138" s="126">
        <f t="shared" si="81"/>
        <v>376683.36</v>
      </c>
      <c r="K1138" s="94"/>
      <c r="M1138" s="95"/>
    </row>
    <row r="1139" spans="2:13" ht="22.5" outlineLevel="1" x14ac:dyDescent="0.2">
      <c r="B1139" s="92" t="s">
        <v>1061</v>
      </c>
      <c r="C1139" s="341">
        <v>43115</v>
      </c>
      <c r="D1139" s="369">
        <v>43830</v>
      </c>
      <c r="E1139" s="342">
        <v>50</v>
      </c>
      <c r="F1139" s="304"/>
      <c r="G1139" s="252">
        <v>11401.98</v>
      </c>
      <c r="H1139" s="253"/>
      <c r="I1139" s="126">
        <f t="shared" si="80"/>
        <v>11401.98</v>
      </c>
      <c r="J1139" s="126">
        <f t="shared" si="81"/>
        <v>11401.98</v>
      </c>
      <c r="K1139" s="94"/>
      <c r="M1139" s="95"/>
    </row>
    <row r="1140" spans="2:13" ht="12.75" outlineLevel="1" x14ac:dyDescent="0.2">
      <c r="B1140" s="92" t="s">
        <v>1062</v>
      </c>
      <c r="C1140" s="341">
        <v>43125</v>
      </c>
      <c r="D1140" s="369">
        <v>43830</v>
      </c>
      <c r="E1140" s="342">
        <v>40</v>
      </c>
      <c r="F1140" s="254">
        <v>37339.33</v>
      </c>
      <c r="G1140" s="252">
        <v>10987.61</v>
      </c>
      <c r="H1140" s="253"/>
      <c r="I1140" s="126">
        <f t="shared" si="80"/>
        <v>48326.94</v>
      </c>
      <c r="J1140" s="126">
        <f t="shared" si="81"/>
        <v>48326.94</v>
      </c>
      <c r="K1140" s="94"/>
      <c r="M1140" s="95"/>
    </row>
    <row r="1141" spans="2:13" ht="12.75" outlineLevel="1" x14ac:dyDescent="0.2">
      <c r="B1141" s="92" t="s">
        <v>1063</v>
      </c>
      <c r="C1141" s="341">
        <v>43094</v>
      </c>
      <c r="D1141" s="369">
        <v>43830</v>
      </c>
      <c r="E1141" s="342">
        <v>40</v>
      </c>
      <c r="F1141" s="255">
        <v>393782.2</v>
      </c>
      <c r="G1141" s="252">
        <v>23656.35</v>
      </c>
      <c r="H1141" s="253"/>
      <c r="I1141" s="126">
        <f t="shared" si="80"/>
        <v>417438.55</v>
      </c>
      <c r="J1141" s="126">
        <f t="shared" si="81"/>
        <v>417438.55</v>
      </c>
      <c r="K1141" s="94"/>
      <c r="M1141" s="95"/>
    </row>
    <row r="1142" spans="2:13" ht="22.5" outlineLevel="1" x14ac:dyDescent="0.2">
      <c r="B1142" s="92" t="s">
        <v>1064</v>
      </c>
      <c r="C1142" s="341">
        <v>43112</v>
      </c>
      <c r="D1142" s="369">
        <v>43830</v>
      </c>
      <c r="E1142" s="342">
        <v>55</v>
      </c>
      <c r="F1142" s="254">
        <v>343876.27</v>
      </c>
      <c r="G1142" s="252">
        <v>23302.93</v>
      </c>
      <c r="H1142" s="253"/>
      <c r="I1142" s="126">
        <f t="shared" si="80"/>
        <v>367179.2</v>
      </c>
      <c r="J1142" s="126">
        <f t="shared" si="81"/>
        <v>367179.2</v>
      </c>
      <c r="K1142" s="94"/>
      <c r="M1142" s="95"/>
    </row>
    <row r="1143" spans="2:13" ht="22.5" outlineLevel="1" x14ac:dyDescent="0.2">
      <c r="B1143" s="92" t="s">
        <v>1065</v>
      </c>
      <c r="C1143" s="341">
        <v>43097</v>
      </c>
      <c r="D1143" s="369">
        <v>43830</v>
      </c>
      <c r="E1143" s="342">
        <v>65</v>
      </c>
      <c r="F1143" s="254">
        <v>78393.210000000006</v>
      </c>
      <c r="G1143" s="252">
        <v>68552.600000000006</v>
      </c>
      <c r="H1143" s="253"/>
      <c r="I1143" s="126">
        <f t="shared" si="80"/>
        <v>146945.81</v>
      </c>
      <c r="J1143" s="126">
        <f t="shared" si="81"/>
        <v>146945.81</v>
      </c>
      <c r="K1143" s="94"/>
      <c r="M1143" s="95"/>
    </row>
    <row r="1144" spans="2:13" ht="12.75" outlineLevel="1" x14ac:dyDescent="0.2">
      <c r="B1144" s="92" t="s">
        <v>1066</v>
      </c>
      <c r="C1144" s="341">
        <v>43074</v>
      </c>
      <c r="D1144" s="369">
        <v>43830</v>
      </c>
      <c r="E1144" s="342">
        <v>50</v>
      </c>
      <c r="F1144" s="304"/>
      <c r="G1144" s="252">
        <v>11273.32</v>
      </c>
      <c r="H1144" s="253"/>
      <c r="I1144" s="126">
        <f t="shared" si="80"/>
        <v>11273.32</v>
      </c>
      <c r="J1144" s="126">
        <f t="shared" si="81"/>
        <v>11273.32</v>
      </c>
      <c r="K1144" s="94"/>
      <c r="M1144" s="95"/>
    </row>
    <row r="1145" spans="2:13" ht="12.75" outlineLevel="1" x14ac:dyDescent="0.2">
      <c r="B1145" s="92" t="s">
        <v>1067</v>
      </c>
      <c r="C1145" s="341">
        <v>43066</v>
      </c>
      <c r="D1145" s="369">
        <v>43830</v>
      </c>
      <c r="E1145" s="342">
        <v>70</v>
      </c>
      <c r="F1145" s="304"/>
      <c r="G1145" s="252">
        <v>3305.36</v>
      </c>
      <c r="H1145" s="253"/>
      <c r="I1145" s="126">
        <f t="shared" si="80"/>
        <v>3305.36</v>
      </c>
      <c r="J1145" s="126">
        <f t="shared" si="81"/>
        <v>3305.36</v>
      </c>
      <c r="K1145" s="94"/>
      <c r="M1145" s="95"/>
    </row>
    <row r="1146" spans="2:13" ht="22.5" outlineLevel="1" x14ac:dyDescent="0.2">
      <c r="B1146" s="92" t="s">
        <v>1068</v>
      </c>
      <c r="C1146" s="341">
        <v>42704</v>
      </c>
      <c r="D1146" s="369">
        <v>43830</v>
      </c>
      <c r="E1146" s="342">
        <v>60</v>
      </c>
      <c r="F1146" s="304"/>
      <c r="G1146" s="252">
        <v>17615.59</v>
      </c>
      <c r="H1146" s="253"/>
      <c r="I1146" s="126">
        <f t="shared" si="80"/>
        <v>17615.59</v>
      </c>
      <c r="J1146" s="126">
        <f t="shared" si="81"/>
        <v>17615.59</v>
      </c>
      <c r="K1146" s="94"/>
      <c r="M1146" s="95"/>
    </row>
    <row r="1147" spans="2:13" ht="12.75" outlineLevel="1" x14ac:dyDescent="0.2">
      <c r="B1147" s="92" t="s">
        <v>1069</v>
      </c>
      <c r="C1147" s="341">
        <v>42815</v>
      </c>
      <c r="D1147" s="369">
        <v>43830</v>
      </c>
      <c r="E1147" s="342">
        <v>40</v>
      </c>
      <c r="F1147" s="304"/>
      <c r="G1147" s="252">
        <v>20557.919999999998</v>
      </c>
      <c r="H1147" s="253"/>
      <c r="I1147" s="126">
        <f t="shared" si="80"/>
        <v>20557.919999999998</v>
      </c>
      <c r="J1147" s="126">
        <f t="shared" si="81"/>
        <v>20557.919999999998</v>
      </c>
      <c r="K1147" s="94"/>
      <c r="M1147" s="95"/>
    </row>
    <row r="1148" spans="2:13" ht="12.75" outlineLevel="1" x14ac:dyDescent="0.2">
      <c r="B1148" s="92" t="s">
        <v>1070</v>
      </c>
      <c r="C1148" s="341">
        <v>43062</v>
      </c>
      <c r="D1148" s="369">
        <v>43830</v>
      </c>
      <c r="E1148" s="342">
        <v>70</v>
      </c>
      <c r="F1148" s="254">
        <v>39562.269999999997</v>
      </c>
      <c r="G1148" s="252">
        <v>13609.09</v>
      </c>
      <c r="H1148" s="253"/>
      <c r="I1148" s="126">
        <f t="shared" si="80"/>
        <v>53171.360000000001</v>
      </c>
      <c r="J1148" s="126">
        <f t="shared" si="81"/>
        <v>53171.360000000001</v>
      </c>
      <c r="K1148" s="94"/>
      <c r="M1148" s="95"/>
    </row>
    <row r="1149" spans="2:13" ht="12.75" outlineLevel="1" x14ac:dyDescent="0.2">
      <c r="B1149" s="92" t="s">
        <v>1071</v>
      </c>
      <c r="C1149" s="341">
        <v>43069</v>
      </c>
      <c r="D1149" s="369">
        <v>43830</v>
      </c>
      <c r="E1149" s="342">
        <v>60</v>
      </c>
      <c r="F1149" s="254">
        <v>41087.07</v>
      </c>
      <c r="G1149" s="252">
        <v>18630.45</v>
      </c>
      <c r="H1149" s="253"/>
      <c r="I1149" s="126">
        <f t="shared" si="80"/>
        <v>59717.520000000004</v>
      </c>
      <c r="J1149" s="126">
        <f t="shared" si="81"/>
        <v>59717.520000000004</v>
      </c>
      <c r="K1149" s="94"/>
      <c r="M1149" s="95"/>
    </row>
    <row r="1150" spans="2:13" ht="12.75" outlineLevel="1" x14ac:dyDescent="0.2">
      <c r="B1150" s="92" t="s">
        <v>1072</v>
      </c>
      <c r="C1150" s="341">
        <v>43060</v>
      </c>
      <c r="D1150" s="369">
        <v>43830</v>
      </c>
      <c r="E1150" s="342">
        <v>60</v>
      </c>
      <c r="F1150" s="257">
        <v>48398</v>
      </c>
      <c r="G1150" s="252">
        <v>17567.5</v>
      </c>
      <c r="H1150" s="253"/>
      <c r="I1150" s="126">
        <f t="shared" si="80"/>
        <v>65965.5</v>
      </c>
      <c r="J1150" s="126">
        <f t="shared" si="81"/>
        <v>65965.5</v>
      </c>
      <c r="K1150" s="94"/>
      <c r="M1150" s="95"/>
    </row>
    <row r="1151" spans="2:13" ht="22.5" outlineLevel="1" x14ac:dyDescent="0.2">
      <c r="B1151" s="92" t="s">
        <v>1073</v>
      </c>
      <c r="C1151" s="341">
        <v>42978</v>
      </c>
      <c r="D1151" s="369">
        <v>43830</v>
      </c>
      <c r="E1151" s="342">
        <v>60</v>
      </c>
      <c r="F1151" s="254">
        <v>395736.99</v>
      </c>
      <c r="G1151" s="252">
        <v>94155.36</v>
      </c>
      <c r="H1151" s="253"/>
      <c r="I1151" s="126">
        <f t="shared" si="80"/>
        <v>489892.35</v>
      </c>
      <c r="J1151" s="126">
        <f t="shared" si="81"/>
        <v>489892.35</v>
      </c>
      <c r="K1151" s="94"/>
      <c r="M1151" s="95"/>
    </row>
    <row r="1152" spans="2:13" ht="22.5" outlineLevel="1" x14ac:dyDescent="0.2">
      <c r="B1152" s="92" t="s">
        <v>1074</v>
      </c>
      <c r="C1152" s="341">
        <v>43007</v>
      </c>
      <c r="D1152" s="369">
        <v>43830</v>
      </c>
      <c r="E1152" s="376">
        <v>90</v>
      </c>
      <c r="F1152" s="304"/>
      <c r="G1152" s="252">
        <v>32888.57</v>
      </c>
      <c r="H1152" s="253"/>
      <c r="I1152" s="126">
        <f t="shared" si="80"/>
        <v>32888.57</v>
      </c>
      <c r="J1152" s="126">
        <f t="shared" si="81"/>
        <v>32888.57</v>
      </c>
      <c r="K1152" s="94"/>
      <c r="M1152" s="95"/>
    </row>
    <row r="1153" spans="2:13" ht="22.5" outlineLevel="1" x14ac:dyDescent="0.2">
      <c r="B1153" s="92" t="s">
        <v>1075</v>
      </c>
      <c r="C1153" s="341">
        <v>42494</v>
      </c>
      <c r="D1153" s="369">
        <v>43830</v>
      </c>
      <c r="E1153" s="376">
        <v>60</v>
      </c>
      <c r="F1153" s="254">
        <v>522144.03</v>
      </c>
      <c r="G1153" s="252">
        <v>6355</v>
      </c>
      <c r="H1153" s="253"/>
      <c r="I1153" s="126">
        <f t="shared" si="80"/>
        <v>528499.03</v>
      </c>
      <c r="J1153" s="126">
        <f t="shared" si="81"/>
        <v>528499.03</v>
      </c>
      <c r="K1153" s="94"/>
      <c r="M1153" s="95"/>
    </row>
    <row r="1154" spans="2:13" ht="12.75" outlineLevel="1" x14ac:dyDescent="0.2">
      <c r="B1154" s="92" t="s">
        <v>1076</v>
      </c>
      <c r="C1154" s="341">
        <v>43077</v>
      </c>
      <c r="D1154" s="369">
        <v>43830</v>
      </c>
      <c r="E1154" s="376">
        <v>50</v>
      </c>
      <c r="F1154" s="254">
        <v>9041.56</v>
      </c>
      <c r="G1154" s="252">
        <v>4683.8999999999996</v>
      </c>
      <c r="H1154" s="253"/>
      <c r="I1154" s="126">
        <f t="shared" si="80"/>
        <v>13725.46</v>
      </c>
      <c r="J1154" s="126">
        <f t="shared" si="81"/>
        <v>13725.46</v>
      </c>
      <c r="K1154" s="94"/>
      <c r="M1154" s="95"/>
    </row>
    <row r="1155" spans="2:13" ht="12.75" outlineLevel="1" x14ac:dyDescent="0.2">
      <c r="B1155" s="92" t="s">
        <v>1077</v>
      </c>
      <c r="C1155" s="341">
        <v>43118</v>
      </c>
      <c r="D1155" s="369">
        <v>43830</v>
      </c>
      <c r="E1155" s="376">
        <v>40</v>
      </c>
      <c r="F1155" s="254">
        <v>20749.57</v>
      </c>
      <c r="G1155" s="252">
        <v>7809.05</v>
      </c>
      <c r="H1155" s="253"/>
      <c r="I1155" s="126">
        <f t="shared" si="80"/>
        <v>28558.62</v>
      </c>
      <c r="J1155" s="126">
        <f t="shared" si="81"/>
        <v>28558.62</v>
      </c>
      <c r="K1155" s="94"/>
      <c r="M1155" s="95"/>
    </row>
    <row r="1156" spans="2:13" ht="12.75" outlineLevel="1" x14ac:dyDescent="0.2">
      <c r="B1156" s="92" t="s">
        <v>1078</v>
      </c>
      <c r="C1156" s="341">
        <v>43123</v>
      </c>
      <c r="D1156" s="369">
        <v>43830</v>
      </c>
      <c r="E1156" s="376">
        <v>90</v>
      </c>
      <c r="F1156" s="254">
        <v>27550.28</v>
      </c>
      <c r="G1156" s="252">
        <v>11784.94</v>
      </c>
      <c r="H1156" s="253"/>
      <c r="I1156" s="126">
        <f t="shared" si="80"/>
        <v>39335.22</v>
      </c>
      <c r="J1156" s="126">
        <f t="shared" si="81"/>
        <v>39335.22</v>
      </c>
      <c r="K1156" s="94"/>
      <c r="M1156" s="95"/>
    </row>
    <row r="1157" spans="2:13" outlineLevel="1" x14ac:dyDescent="0.2">
      <c r="B1157" s="92" t="s">
        <v>1079</v>
      </c>
      <c r="C1157" s="341">
        <v>43147</v>
      </c>
      <c r="D1157" s="369">
        <v>43830</v>
      </c>
      <c r="E1157" s="377">
        <v>70</v>
      </c>
      <c r="F1157" s="254">
        <v>27018.41</v>
      </c>
      <c r="G1157" s="252">
        <v>11784.94</v>
      </c>
      <c r="H1157" s="253"/>
      <c r="I1157" s="126">
        <f t="shared" si="80"/>
        <v>38803.35</v>
      </c>
      <c r="J1157" s="126">
        <f t="shared" si="81"/>
        <v>38803.35</v>
      </c>
      <c r="K1157" s="94"/>
      <c r="M1157" s="95"/>
    </row>
    <row r="1158" spans="2:13" outlineLevel="1" x14ac:dyDescent="0.2">
      <c r="B1158" s="92" t="s">
        <v>1080</v>
      </c>
      <c r="C1158" s="341">
        <v>43182</v>
      </c>
      <c r="D1158" s="369">
        <v>43830</v>
      </c>
      <c r="E1158" s="377">
        <v>50</v>
      </c>
      <c r="F1158" s="254">
        <v>26410.73</v>
      </c>
      <c r="G1158" s="252">
        <v>11312.13</v>
      </c>
      <c r="H1158" s="253"/>
      <c r="I1158" s="126">
        <f t="shared" si="80"/>
        <v>37722.86</v>
      </c>
      <c r="J1158" s="126">
        <f t="shared" si="81"/>
        <v>37722.86</v>
      </c>
      <c r="K1158" s="94"/>
      <c r="M1158" s="95"/>
    </row>
    <row r="1159" spans="2:13" outlineLevel="1" x14ac:dyDescent="0.2">
      <c r="B1159" s="92" t="s">
        <v>1081</v>
      </c>
      <c r="C1159" s="341">
        <v>43031</v>
      </c>
      <c r="D1159" s="369">
        <v>43830</v>
      </c>
      <c r="E1159" s="377">
        <v>50</v>
      </c>
      <c r="F1159" s="254">
        <v>39443.980000000003</v>
      </c>
      <c r="G1159" s="252">
        <v>13106.71</v>
      </c>
      <c r="H1159" s="253"/>
      <c r="I1159" s="126">
        <f t="shared" si="80"/>
        <v>52550.69</v>
      </c>
      <c r="J1159" s="126">
        <f t="shared" si="81"/>
        <v>52550.69</v>
      </c>
      <c r="K1159" s="94"/>
      <c r="M1159" s="95"/>
    </row>
    <row r="1160" spans="2:13" outlineLevel="1" x14ac:dyDescent="0.2">
      <c r="B1160" s="92" t="s">
        <v>1082</v>
      </c>
      <c r="C1160" s="341">
        <v>43007</v>
      </c>
      <c r="D1160" s="369">
        <v>43830</v>
      </c>
      <c r="E1160" s="377">
        <v>50</v>
      </c>
      <c r="F1160" s="255">
        <v>2755.7</v>
      </c>
      <c r="G1160" s="252">
        <v>5099.82</v>
      </c>
      <c r="H1160" s="253"/>
      <c r="I1160" s="126">
        <f t="shared" si="80"/>
        <v>7855.5199999999995</v>
      </c>
      <c r="J1160" s="126">
        <f t="shared" si="81"/>
        <v>7855.5199999999995</v>
      </c>
      <c r="K1160" s="94"/>
      <c r="M1160" s="95"/>
    </row>
    <row r="1161" spans="2:13" outlineLevel="1" x14ac:dyDescent="0.2">
      <c r="B1161" s="92" t="s">
        <v>1083</v>
      </c>
      <c r="C1161" s="341">
        <v>43138</v>
      </c>
      <c r="D1161" s="369">
        <v>43830</v>
      </c>
      <c r="E1161" s="377">
        <v>70</v>
      </c>
      <c r="F1161" s="254">
        <v>28259.02</v>
      </c>
      <c r="G1161" s="252">
        <v>11821.09</v>
      </c>
      <c r="H1161" s="253"/>
      <c r="I1161" s="126">
        <f t="shared" si="80"/>
        <v>40080.11</v>
      </c>
      <c r="J1161" s="126">
        <f t="shared" si="81"/>
        <v>40080.11</v>
      </c>
      <c r="K1161" s="94"/>
      <c r="M1161" s="95"/>
    </row>
    <row r="1162" spans="2:13" outlineLevel="1" x14ac:dyDescent="0.2">
      <c r="B1162" s="92" t="s">
        <v>1084</v>
      </c>
      <c r="C1162" s="341">
        <v>43171</v>
      </c>
      <c r="D1162" s="369">
        <v>43830</v>
      </c>
      <c r="E1162" s="377">
        <v>70</v>
      </c>
      <c r="F1162" s="254">
        <v>43487.16</v>
      </c>
      <c r="G1162" s="252">
        <v>16804.3</v>
      </c>
      <c r="H1162" s="253"/>
      <c r="I1162" s="126">
        <f t="shared" si="80"/>
        <v>60291.460000000006</v>
      </c>
      <c r="J1162" s="126">
        <f t="shared" si="81"/>
        <v>60291.460000000006</v>
      </c>
      <c r="K1162" s="94"/>
      <c r="M1162" s="95"/>
    </row>
    <row r="1163" spans="2:13" outlineLevel="1" x14ac:dyDescent="0.2">
      <c r="B1163" s="92" t="s">
        <v>1085</v>
      </c>
      <c r="C1163" s="341">
        <v>43158</v>
      </c>
      <c r="D1163" s="369">
        <v>43830</v>
      </c>
      <c r="E1163" s="377">
        <v>70</v>
      </c>
      <c r="F1163" s="254">
        <v>32124.16</v>
      </c>
      <c r="G1163" s="252">
        <v>11033.07</v>
      </c>
      <c r="H1163" s="253"/>
      <c r="I1163" s="126">
        <f t="shared" si="80"/>
        <v>43157.229999999996</v>
      </c>
      <c r="J1163" s="126">
        <f t="shared" si="81"/>
        <v>43157.229999999996</v>
      </c>
      <c r="K1163" s="94"/>
      <c r="M1163" s="95"/>
    </row>
    <row r="1164" spans="2:13" ht="22.5" outlineLevel="1" x14ac:dyDescent="0.2">
      <c r="B1164" s="92" t="s">
        <v>1086</v>
      </c>
      <c r="C1164" s="341">
        <v>42942</v>
      </c>
      <c r="D1164" s="369">
        <v>43830</v>
      </c>
      <c r="E1164" s="377">
        <v>50</v>
      </c>
      <c r="F1164" s="254">
        <v>772496.61</v>
      </c>
      <c r="G1164" s="252">
        <v>29800.54</v>
      </c>
      <c r="H1164" s="253"/>
      <c r="I1164" s="126">
        <f t="shared" si="80"/>
        <v>802297.15</v>
      </c>
      <c r="J1164" s="126">
        <f t="shared" si="81"/>
        <v>802297.15</v>
      </c>
      <c r="K1164" s="94"/>
      <c r="M1164" s="95"/>
    </row>
    <row r="1165" spans="2:13" ht="22.5" outlineLevel="1" x14ac:dyDescent="0.2">
      <c r="B1165" s="92" t="s">
        <v>1087</v>
      </c>
      <c r="C1165" s="341">
        <v>43133</v>
      </c>
      <c r="D1165" s="369">
        <v>43830</v>
      </c>
      <c r="E1165" s="377">
        <v>50</v>
      </c>
      <c r="F1165" s="257">
        <v>316155</v>
      </c>
      <c r="G1165" s="252">
        <v>28251.97</v>
      </c>
      <c r="H1165" s="253"/>
      <c r="I1165" s="126">
        <f t="shared" si="80"/>
        <v>344406.97</v>
      </c>
      <c r="J1165" s="126">
        <f t="shared" si="81"/>
        <v>344406.97</v>
      </c>
      <c r="K1165" s="94"/>
      <c r="M1165" s="95"/>
    </row>
    <row r="1166" spans="2:13" outlineLevel="1" x14ac:dyDescent="0.2">
      <c r="B1166" s="92" t="s">
        <v>1088</v>
      </c>
      <c r="C1166" s="341">
        <v>43425</v>
      </c>
      <c r="D1166" s="369">
        <v>43830</v>
      </c>
      <c r="E1166" s="377">
        <v>30</v>
      </c>
      <c r="F1166" s="304"/>
      <c r="G1166" s="252">
        <v>1652.7</v>
      </c>
      <c r="H1166" s="253"/>
      <c r="I1166" s="126">
        <f t="shared" si="80"/>
        <v>1652.7</v>
      </c>
      <c r="J1166" s="126">
        <f t="shared" si="81"/>
        <v>1652.7</v>
      </c>
      <c r="K1166" s="94"/>
      <c r="M1166" s="95"/>
    </row>
    <row r="1167" spans="2:13" outlineLevel="1" x14ac:dyDescent="0.2">
      <c r="B1167" s="92" t="s">
        <v>1089</v>
      </c>
      <c r="C1167" s="341">
        <v>43214</v>
      </c>
      <c r="D1167" s="369">
        <v>43830</v>
      </c>
      <c r="E1167" s="377">
        <v>30</v>
      </c>
      <c r="F1167" s="304"/>
      <c r="G1167" s="252">
        <v>1652.7</v>
      </c>
      <c r="H1167" s="253"/>
      <c r="I1167" s="126">
        <f t="shared" si="80"/>
        <v>1652.7</v>
      </c>
      <c r="J1167" s="126">
        <f t="shared" si="81"/>
        <v>1652.7</v>
      </c>
      <c r="K1167" s="94"/>
      <c r="M1167" s="95"/>
    </row>
    <row r="1168" spans="2:13" outlineLevel="1" x14ac:dyDescent="0.2">
      <c r="B1168" s="92" t="s">
        <v>1090</v>
      </c>
      <c r="C1168" s="341">
        <v>43116</v>
      </c>
      <c r="D1168" s="369">
        <v>43830</v>
      </c>
      <c r="E1168" s="377">
        <v>70</v>
      </c>
      <c r="F1168" s="254">
        <v>109409.44</v>
      </c>
      <c r="G1168" s="252">
        <v>17085.5</v>
      </c>
      <c r="H1168" s="253"/>
      <c r="I1168" s="126">
        <f t="shared" si="80"/>
        <v>126494.94</v>
      </c>
      <c r="J1168" s="126">
        <f t="shared" si="81"/>
        <v>126494.94</v>
      </c>
      <c r="K1168" s="94"/>
      <c r="M1168" s="95"/>
    </row>
    <row r="1169" spans="2:13" ht="22.5" outlineLevel="1" x14ac:dyDescent="0.2">
      <c r="B1169" s="92" t="s">
        <v>1091</v>
      </c>
      <c r="C1169" s="341">
        <v>43068</v>
      </c>
      <c r="D1169" s="369">
        <v>43830</v>
      </c>
      <c r="E1169" s="377">
        <v>50</v>
      </c>
      <c r="F1169" s="304"/>
      <c r="G1169" s="252">
        <v>17228.71</v>
      </c>
      <c r="H1169" s="253"/>
      <c r="I1169" s="126">
        <f t="shared" si="80"/>
        <v>17228.71</v>
      </c>
      <c r="J1169" s="126">
        <f t="shared" si="81"/>
        <v>17228.71</v>
      </c>
      <c r="K1169" s="94"/>
      <c r="M1169" s="95"/>
    </row>
    <row r="1170" spans="2:13" outlineLevel="1" x14ac:dyDescent="0.2">
      <c r="B1170" s="92" t="s">
        <v>1092</v>
      </c>
      <c r="C1170" s="341">
        <v>43132</v>
      </c>
      <c r="D1170" s="369">
        <v>43830</v>
      </c>
      <c r="E1170" s="377">
        <v>70</v>
      </c>
      <c r="F1170" s="254">
        <v>153102.28</v>
      </c>
      <c r="G1170" s="252">
        <v>11535.12</v>
      </c>
      <c r="H1170" s="253"/>
      <c r="I1170" s="126">
        <f t="shared" si="80"/>
        <v>164637.4</v>
      </c>
      <c r="J1170" s="126">
        <f t="shared" si="81"/>
        <v>164637.4</v>
      </c>
      <c r="K1170" s="94"/>
      <c r="M1170" s="95"/>
    </row>
    <row r="1171" spans="2:13" outlineLevel="1" x14ac:dyDescent="0.2">
      <c r="B1171" s="92" t="s">
        <v>1093</v>
      </c>
      <c r="C1171" s="341">
        <v>43138</v>
      </c>
      <c r="D1171" s="369">
        <v>43830</v>
      </c>
      <c r="E1171" s="377">
        <v>50</v>
      </c>
      <c r="F1171" s="304"/>
      <c r="G1171" s="252">
        <v>20586.849999999999</v>
      </c>
      <c r="H1171" s="253"/>
      <c r="I1171" s="126">
        <f t="shared" si="80"/>
        <v>20586.849999999999</v>
      </c>
      <c r="J1171" s="126">
        <f t="shared" si="81"/>
        <v>20586.849999999999</v>
      </c>
      <c r="K1171" s="94"/>
      <c r="M1171" s="95"/>
    </row>
    <row r="1172" spans="2:13" outlineLevel="1" x14ac:dyDescent="0.2">
      <c r="B1172" s="92" t="s">
        <v>1094</v>
      </c>
      <c r="C1172" s="341">
        <v>43194</v>
      </c>
      <c r="D1172" s="369">
        <v>43830</v>
      </c>
      <c r="E1172" s="377">
        <v>60</v>
      </c>
      <c r="F1172" s="254">
        <v>32940.410000000003</v>
      </c>
      <c r="G1172" s="252">
        <v>10920.91</v>
      </c>
      <c r="H1172" s="253"/>
      <c r="I1172" s="126">
        <f t="shared" si="80"/>
        <v>43861.320000000007</v>
      </c>
      <c r="J1172" s="126">
        <f t="shared" si="81"/>
        <v>43861.320000000007</v>
      </c>
      <c r="K1172" s="94"/>
      <c r="M1172" s="95"/>
    </row>
    <row r="1173" spans="2:13" ht="22.5" outlineLevel="1" x14ac:dyDescent="0.2">
      <c r="B1173" s="92" t="s">
        <v>1095</v>
      </c>
      <c r="C1173" s="341">
        <v>43161</v>
      </c>
      <c r="D1173" s="369">
        <v>43830</v>
      </c>
      <c r="E1173" s="377">
        <v>50</v>
      </c>
      <c r="F1173" s="254">
        <v>84247.15</v>
      </c>
      <c r="G1173" s="252">
        <v>29407.45</v>
      </c>
      <c r="H1173" s="253"/>
      <c r="I1173" s="126">
        <f t="shared" si="80"/>
        <v>113654.59999999999</v>
      </c>
      <c r="J1173" s="126">
        <f t="shared" si="81"/>
        <v>113654.59999999999</v>
      </c>
      <c r="K1173" s="94"/>
      <c r="M1173" s="95"/>
    </row>
    <row r="1174" spans="2:13" outlineLevel="1" x14ac:dyDescent="0.2">
      <c r="B1174" s="92" t="s">
        <v>1096</v>
      </c>
      <c r="C1174" s="341">
        <v>43124</v>
      </c>
      <c r="D1174" s="369">
        <v>43830</v>
      </c>
      <c r="E1174" s="377">
        <v>50</v>
      </c>
      <c r="F1174" s="254">
        <v>106472.88</v>
      </c>
      <c r="G1174" s="252">
        <v>10946.82</v>
      </c>
      <c r="H1174" s="253"/>
      <c r="I1174" s="126">
        <f t="shared" ref="I1174:I1237" si="82">F1174+G1174+H1174</f>
        <v>117419.70000000001</v>
      </c>
      <c r="J1174" s="126">
        <f t="shared" ref="J1174:J1237" si="83">I1174</f>
        <v>117419.70000000001</v>
      </c>
      <c r="K1174" s="94"/>
      <c r="M1174" s="95"/>
    </row>
    <row r="1175" spans="2:13" ht="22.5" outlineLevel="1" x14ac:dyDescent="0.2">
      <c r="B1175" s="92" t="s">
        <v>1097</v>
      </c>
      <c r="C1175" s="341">
        <v>43182</v>
      </c>
      <c r="D1175" s="369">
        <v>43830</v>
      </c>
      <c r="E1175" s="377">
        <v>50</v>
      </c>
      <c r="F1175" s="304"/>
      <c r="G1175" s="252">
        <v>17344.23</v>
      </c>
      <c r="H1175" s="253"/>
      <c r="I1175" s="126">
        <f t="shared" si="82"/>
        <v>17344.23</v>
      </c>
      <c r="J1175" s="126">
        <f t="shared" si="83"/>
        <v>17344.23</v>
      </c>
      <c r="K1175" s="94"/>
      <c r="M1175" s="95"/>
    </row>
    <row r="1176" spans="2:13" outlineLevel="1" x14ac:dyDescent="0.2">
      <c r="B1176" s="92" t="s">
        <v>1098</v>
      </c>
      <c r="C1176" s="341">
        <v>43199</v>
      </c>
      <c r="D1176" s="369">
        <v>43830</v>
      </c>
      <c r="E1176" s="377">
        <v>80</v>
      </c>
      <c r="F1176" s="254">
        <v>42321.69</v>
      </c>
      <c r="G1176" s="252">
        <v>12542.6</v>
      </c>
      <c r="H1176" s="253"/>
      <c r="I1176" s="126">
        <f t="shared" si="82"/>
        <v>54864.29</v>
      </c>
      <c r="J1176" s="126">
        <f t="shared" si="83"/>
        <v>54864.29</v>
      </c>
      <c r="K1176" s="94"/>
      <c r="M1176" s="95"/>
    </row>
    <row r="1177" spans="2:13" outlineLevel="1" x14ac:dyDescent="0.2">
      <c r="B1177" s="92" t="s">
        <v>1099</v>
      </c>
      <c r="C1177" s="341">
        <v>43196</v>
      </c>
      <c r="D1177" s="369">
        <v>43830</v>
      </c>
      <c r="E1177" s="377">
        <v>80</v>
      </c>
      <c r="F1177" s="254">
        <v>48880.69</v>
      </c>
      <c r="G1177" s="252">
        <v>12542.6</v>
      </c>
      <c r="H1177" s="253"/>
      <c r="I1177" s="126">
        <f t="shared" si="82"/>
        <v>61423.29</v>
      </c>
      <c r="J1177" s="126">
        <f t="shared" si="83"/>
        <v>61423.29</v>
      </c>
      <c r="K1177" s="94"/>
      <c r="M1177" s="95"/>
    </row>
    <row r="1178" spans="2:13" outlineLevel="1" x14ac:dyDescent="0.2">
      <c r="B1178" s="92" t="s">
        <v>1100</v>
      </c>
      <c r="C1178" s="341">
        <v>43199</v>
      </c>
      <c r="D1178" s="369">
        <v>43830</v>
      </c>
      <c r="E1178" s="377">
        <v>80</v>
      </c>
      <c r="F1178" s="254">
        <v>42321.69</v>
      </c>
      <c r="G1178" s="252">
        <v>12542.6</v>
      </c>
      <c r="H1178" s="253"/>
      <c r="I1178" s="126">
        <f t="shared" si="82"/>
        <v>54864.29</v>
      </c>
      <c r="J1178" s="126">
        <f t="shared" si="83"/>
        <v>54864.29</v>
      </c>
      <c r="K1178" s="94"/>
      <c r="M1178" s="95"/>
    </row>
    <row r="1179" spans="2:13" ht="22.5" outlineLevel="1" x14ac:dyDescent="0.2">
      <c r="B1179" s="92" t="s">
        <v>1101</v>
      </c>
      <c r="C1179" s="341">
        <v>42535</v>
      </c>
      <c r="D1179" s="369">
        <v>43830</v>
      </c>
      <c r="E1179" s="377">
        <v>50</v>
      </c>
      <c r="F1179" s="254">
        <v>556316.52</v>
      </c>
      <c r="G1179" s="252">
        <v>18482.830000000002</v>
      </c>
      <c r="H1179" s="253"/>
      <c r="I1179" s="126">
        <f t="shared" si="82"/>
        <v>574799.35</v>
      </c>
      <c r="J1179" s="126">
        <f t="shared" si="83"/>
        <v>574799.35</v>
      </c>
      <c r="K1179" s="94"/>
      <c r="M1179" s="95"/>
    </row>
    <row r="1180" spans="2:13" outlineLevel="1" x14ac:dyDescent="0.2">
      <c r="B1180" s="92" t="s">
        <v>1102</v>
      </c>
      <c r="C1180" s="341">
        <v>43218</v>
      </c>
      <c r="D1180" s="369">
        <v>43830</v>
      </c>
      <c r="E1180" s="377">
        <v>60</v>
      </c>
      <c r="F1180" s="254">
        <v>69210.95</v>
      </c>
      <c r="G1180" s="252">
        <v>11528.09</v>
      </c>
      <c r="H1180" s="253"/>
      <c r="I1180" s="126">
        <f t="shared" si="82"/>
        <v>80739.039999999994</v>
      </c>
      <c r="J1180" s="126">
        <f t="shared" si="83"/>
        <v>80739.039999999994</v>
      </c>
      <c r="K1180" s="94"/>
      <c r="M1180" s="95"/>
    </row>
    <row r="1181" spans="2:13" outlineLevel="1" x14ac:dyDescent="0.2">
      <c r="B1181" s="92" t="s">
        <v>1103</v>
      </c>
      <c r="C1181" s="341">
        <v>42892</v>
      </c>
      <c r="D1181" s="369">
        <v>43830</v>
      </c>
      <c r="E1181" s="377">
        <v>50</v>
      </c>
      <c r="F1181" s="254">
        <v>37000.239999999998</v>
      </c>
      <c r="G1181" s="252">
        <v>13532.71</v>
      </c>
      <c r="H1181" s="253"/>
      <c r="I1181" s="126">
        <f t="shared" si="82"/>
        <v>50532.95</v>
      </c>
      <c r="J1181" s="126">
        <f t="shared" si="83"/>
        <v>50532.95</v>
      </c>
      <c r="K1181" s="94"/>
      <c r="M1181" s="95"/>
    </row>
    <row r="1182" spans="2:13" ht="22.5" outlineLevel="1" x14ac:dyDescent="0.2">
      <c r="B1182" s="92" t="s">
        <v>1104</v>
      </c>
      <c r="C1182" s="341">
        <v>43186</v>
      </c>
      <c r="D1182" s="369">
        <v>43830</v>
      </c>
      <c r="E1182" s="377">
        <v>30</v>
      </c>
      <c r="F1182" s="254">
        <v>40403.21</v>
      </c>
      <c r="G1182" s="252">
        <v>11602.12</v>
      </c>
      <c r="H1182" s="253"/>
      <c r="I1182" s="126">
        <f t="shared" si="82"/>
        <v>52005.33</v>
      </c>
      <c r="J1182" s="126">
        <f t="shared" si="83"/>
        <v>52005.33</v>
      </c>
      <c r="K1182" s="94"/>
      <c r="M1182" s="95"/>
    </row>
    <row r="1183" spans="2:13" outlineLevel="1" x14ac:dyDescent="0.2">
      <c r="B1183" s="92" t="s">
        <v>1105</v>
      </c>
      <c r="C1183" s="341"/>
      <c r="D1183" s="369">
        <v>43830</v>
      </c>
      <c r="E1183" s="377">
        <v>50</v>
      </c>
      <c r="F1183" s="254">
        <v>27662.84</v>
      </c>
      <c r="G1183" s="252">
        <v>11676.46</v>
      </c>
      <c r="H1183" s="253"/>
      <c r="I1183" s="126">
        <f t="shared" si="82"/>
        <v>39339.300000000003</v>
      </c>
      <c r="J1183" s="126">
        <f t="shared" si="83"/>
        <v>39339.300000000003</v>
      </c>
      <c r="K1183" s="94"/>
      <c r="M1183" s="95"/>
    </row>
    <row r="1184" spans="2:13" outlineLevel="1" x14ac:dyDescent="0.2">
      <c r="B1184" s="92" t="s">
        <v>1106</v>
      </c>
      <c r="C1184" s="341">
        <v>43236</v>
      </c>
      <c r="D1184" s="369">
        <v>43830</v>
      </c>
      <c r="E1184" s="377">
        <v>30</v>
      </c>
      <c r="F1184" s="254">
        <v>25754.13</v>
      </c>
      <c r="G1184" s="252">
        <v>11508.72</v>
      </c>
      <c r="H1184" s="253"/>
      <c r="I1184" s="126">
        <f t="shared" si="82"/>
        <v>37262.85</v>
      </c>
      <c r="J1184" s="126">
        <f t="shared" si="83"/>
        <v>37262.85</v>
      </c>
      <c r="K1184" s="94"/>
      <c r="M1184" s="95"/>
    </row>
    <row r="1185" spans="2:13" outlineLevel="1" x14ac:dyDescent="0.2">
      <c r="B1185" s="92" t="s">
        <v>1107</v>
      </c>
      <c r="C1185" s="341">
        <v>43158</v>
      </c>
      <c r="D1185" s="369">
        <v>43830</v>
      </c>
      <c r="E1185" s="377">
        <v>50</v>
      </c>
      <c r="F1185" s="254">
        <v>34984.25</v>
      </c>
      <c r="G1185" s="252">
        <v>8936.64</v>
      </c>
      <c r="H1185" s="253"/>
      <c r="I1185" s="126">
        <f t="shared" si="82"/>
        <v>43920.89</v>
      </c>
      <c r="J1185" s="126">
        <f t="shared" si="83"/>
        <v>43920.89</v>
      </c>
      <c r="K1185" s="94"/>
      <c r="M1185" s="95"/>
    </row>
    <row r="1186" spans="2:13" ht="22.5" outlineLevel="1" x14ac:dyDescent="0.2">
      <c r="B1186" s="92" t="s">
        <v>1108</v>
      </c>
      <c r="C1186" s="341">
        <v>43199</v>
      </c>
      <c r="D1186" s="369">
        <v>43830</v>
      </c>
      <c r="E1186" s="377">
        <v>30</v>
      </c>
      <c r="F1186" s="254">
        <v>20932.68</v>
      </c>
      <c r="G1186" s="252">
        <v>8936.64</v>
      </c>
      <c r="H1186" s="253"/>
      <c r="I1186" s="126">
        <f t="shared" si="82"/>
        <v>29869.32</v>
      </c>
      <c r="J1186" s="126">
        <f t="shared" si="83"/>
        <v>29869.32</v>
      </c>
      <c r="K1186" s="94"/>
      <c r="M1186" s="95"/>
    </row>
    <row r="1187" spans="2:13" outlineLevel="1" x14ac:dyDescent="0.2">
      <c r="B1187" s="92" t="s">
        <v>1109</v>
      </c>
      <c r="C1187" s="341">
        <v>43207</v>
      </c>
      <c r="D1187" s="369">
        <v>43830</v>
      </c>
      <c r="E1187" s="377">
        <v>30</v>
      </c>
      <c r="F1187" s="254">
        <v>20414.43</v>
      </c>
      <c r="G1187" s="252">
        <v>8936.64</v>
      </c>
      <c r="H1187" s="253"/>
      <c r="I1187" s="126">
        <f t="shared" si="82"/>
        <v>29351.07</v>
      </c>
      <c r="J1187" s="126">
        <f t="shared" si="83"/>
        <v>29351.07</v>
      </c>
      <c r="K1187" s="94"/>
      <c r="M1187" s="95"/>
    </row>
    <row r="1188" spans="2:13" outlineLevel="1" x14ac:dyDescent="0.2">
      <c r="B1188" s="92" t="s">
        <v>1110</v>
      </c>
      <c r="C1188" s="341">
        <v>43189</v>
      </c>
      <c r="D1188" s="369">
        <v>43830</v>
      </c>
      <c r="E1188" s="377">
        <v>60</v>
      </c>
      <c r="F1188" s="254">
        <v>36452.42</v>
      </c>
      <c r="G1188" s="252">
        <v>8936.64</v>
      </c>
      <c r="H1188" s="253"/>
      <c r="I1188" s="126">
        <f t="shared" si="82"/>
        <v>45389.06</v>
      </c>
      <c r="J1188" s="126">
        <f t="shared" si="83"/>
        <v>45389.06</v>
      </c>
      <c r="K1188" s="94"/>
      <c r="M1188" s="95"/>
    </row>
    <row r="1189" spans="2:13" outlineLevel="1" x14ac:dyDescent="0.2">
      <c r="B1189" s="92" t="s">
        <v>1111</v>
      </c>
      <c r="C1189" s="341">
        <v>43180</v>
      </c>
      <c r="D1189" s="369">
        <v>43830</v>
      </c>
      <c r="E1189" s="377">
        <v>30</v>
      </c>
      <c r="F1189" s="254">
        <v>11991.85</v>
      </c>
      <c r="G1189" s="252">
        <v>11723.35</v>
      </c>
      <c r="H1189" s="253"/>
      <c r="I1189" s="126">
        <f t="shared" si="82"/>
        <v>23715.200000000001</v>
      </c>
      <c r="J1189" s="126">
        <f t="shared" si="83"/>
        <v>23715.200000000001</v>
      </c>
      <c r="K1189" s="94"/>
      <c r="M1189" s="95"/>
    </row>
    <row r="1190" spans="2:13" outlineLevel="1" x14ac:dyDescent="0.2">
      <c r="B1190" s="92" t="s">
        <v>1112</v>
      </c>
      <c r="C1190" s="341">
        <v>43172</v>
      </c>
      <c r="D1190" s="369">
        <v>43830</v>
      </c>
      <c r="E1190" s="377">
        <v>50</v>
      </c>
      <c r="F1190" s="254">
        <v>32123.97</v>
      </c>
      <c r="G1190" s="252">
        <v>17391.12</v>
      </c>
      <c r="H1190" s="253"/>
      <c r="I1190" s="126">
        <f t="shared" si="82"/>
        <v>49515.09</v>
      </c>
      <c r="J1190" s="126">
        <f t="shared" si="83"/>
        <v>49515.09</v>
      </c>
      <c r="K1190" s="94"/>
      <c r="M1190" s="95"/>
    </row>
    <row r="1191" spans="2:13" outlineLevel="1" x14ac:dyDescent="0.2">
      <c r="B1191" s="92" t="s">
        <v>1113</v>
      </c>
      <c r="C1191" s="341">
        <v>42891</v>
      </c>
      <c r="D1191" s="369">
        <v>43830</v>
      </c>
      <c r="E1191" s="377">
        <v>30</v>
      </c>
      <c r="F1191" s="254">
        <v>8637.35</v>
      </c>
      <c r="G1191" s="252">
        <v>7694.84</v>
      </c>
      <c r="H1191" s="253"/>
      <c r="I1191" s="126">
        <f t="shared" si="82"/>
        <v>16332.19</v>
      </c>
      <c r="J1191" s="126">
        <f t="shared" si="83"/>
        <v>16332.19</v>
      </c>
      <c r="K1191" s="94"/>
      <c r="M1191" s="95"/>
    </row>
    <row r="1192" spans="2:13" outlineLevel="1" x14ac:dyDescent="0.2">
      <c r="B1192" s="92" t="s">
        <v>1114</v>
      </c>
      <c r="C1192" s="341">
        <v>43238</v>
      </c>
      <c r="D1192" s="369">
        <v>43830</v>
      </c>
      <c r="E1192" s="377">
        <v>50</v>
      </c>
      <c r="F1192" s="304"/>
      <c r="G1192" s="252">
        <v>63795.43</v>
      </c>
      <c r="H1192" s="253"/>
      <c r="I1192" s="126">
        <f t="shared" si="82"/>
        <v>63795.43</v>
      </c>
      <c r="J1192" s="126">
        <f t="shared" si="83"/>
        <v>63795.43</v>
      </c>
      <c r="K1192" s="94"/>
      <c r="M1192" s="95"/>
    </row>
    <row r="1193" spans="2:13" outlineLevel="1" x14ac:dyDescent="0.2">
      <c r="B1193" s="92" t="s">
        <v>1115</v>
      </c>
      <c r="C1193" s="375" t="s">
        <v>1482</v>
      </c>
      <c r="D1193" s="369">
        <v>43830</v>
      </c>
      <c r="E1193" s="377">
        <v>50</v>
      </c>
      <c r="F1193" s="304"/>
      <c r="G1193" s="252">
        <v>16583.09</v>
      </c>
      <c r="H1193" s="253"/>
      <c r="I1193" s="126">
        <f t="shared" si="82"/>
        <v>16583.09</v>
      </c>
      <c r="J1193" s="126">
        <f t="shared" si="83"/>
        <v>16583.09</v>
      </c>
      <c r="K1193" s="94"/>
      <c r="M1193" s="95"/>
    </row>
    <row r="1194" spans="2:13" outlineLevel="1" x14ac:dyDescent="0.2">
      <c r="B1194" s="92" t="s">
        <v>1116</v>
      </c>
      <c r="C1194" s="341">
        <v>43158</v>
      </c>
      <c r="D1194" s="369">
        <v>43830</v>
      </c>
      <c r="E1194" s="377">
        <v>80</v>
      </c>
      <c r="F1194" s="254">
        <v>77818.64</v>
      </c>
      <c r="G1194" s="252">
        <v>16942.349999999999</v>
      </c>
      <c r="H1194" s="253"/>
      <c r="I1194" s="126">
        <f t="shared" si="82"/>
        <v>94760.989999999991</v>
      </c>
      <c r="J1194" s="126">
        <f t="shared" si="83"/>
        <v>94760.989999999991</v>
      </c>
      <c r="K1194" s="94"/>
      <c r="M1194" s="95"/>
    </row>
    <row r="1195" spans="2:13" outlineLevel="1" x14ac:dyDescent="0.2">
      <c r="B1195" s="92" t="s">
        <v>1117</v>
      </c>
      <c r="C1195" s="341">
        <v>43052</v>
      </c>
      <c r="D1195" s="369">
        <v>43830</v>
      </c>
      <c r="E1195" s="377">
        <v>30</v>
      </c>
      <c r="F1195" s="304"/>
      <c r="G1195" s="252">
        <v>2768.79</v>
      </c>
      <c r="H1195" s="253"/>
      <c r="I1195" s="126">
        <f t="shared" si="82"/>
        <v>2768.79</v>
      </c>
      <c r="J1195" s="126">
        <f t="shared" si="83"/>
        <v>2768.79</v>
      </c>
      <c r="K1195" s="94"/>
      <c r="M1195" s="95"/>
    </row>
    <row r="1196" spans="2:13" outlineLevel="1" x14ac:dyDescent="0.2">
      <c r="B1196" s="92" t="s">
        <v>1118</v>
      </c>
      <c r="C1196" s="341">
        <v>43165</v>
      </c>
      <c r="D1196" s="369">
        <v>43830</v>
      </c>
      <c r="E1196" s="377">
        <v>80</v>
      </c>
      <c r="F1196" s="304"/>
      <c r="G1196" s="252">
        <v>24037.63</v>
      </c>
      <c r="H1196" s="253"/>
      <c r="I1196" s="126">
        <f t="shared" si="82"/>
        <v>24037.63</v>
      </c>
      <c r="J1196" s="126">
        <f t="shared" si="83"/>
        <v>24037.63</v>
      </c>
      <c r="K1196" s="94"/>
      <c r="M1196" s="95"/>
    </row>
    <row r="1197" spans="2:13" outlineLevel="1" x14ac:dyDescent="0.2">
      <c r="B1197" s="92" t="s">
        <v>1119</v>
      </c>
      <c r="C1197" s="341">
        <v>43143</v>
      </c>
      <c r="D1197" s="369">
        <v>43830</v>
      </c>
      <c r="E1197" s="377">
        <v>80</v>
      </c>
      <c r="F1197" s="304"/>
      <c r="G1197" s="252">
        <v>17042.060000000001</v>
      </c>
      <c r="H1197" s="253"/>
      <c r="I1197" s="126">
        <f t="shared" si="82"/>
        <v>17042.060000000001</v>
      </c>
      <c r="J1197" s="126">
        <f t="shared" si="83"/>
        <v>17042.060000000001</v>
      </c>
      <c r="K1197" s="94"/>
      <c r="M1197" s="95"/>
    </row>
    <row r="1198" spans="2:13" outlineLevel="1" x14ac:dyDescent="0.2">
      <c r="B1198" s="92" t="s">
        <v>1120</v>
      </c>
      <c r="C1198" s="341">
        <v>43017</v>
      </c>
      <c r="D1198" s="369">
        <v>43830</v>
      </c>
      <c r="E1198" s="377">
        <v>50</v>
      </c>
      <c r="F1198" s="254">
        <v>217096.03</v>
      </c>
      <c r="G1198" s="252">
        <v>19763.259999999998</v>
      </c>
      <c r="H1198" s="253"/>
      <c r="I1198" s="126">
        <f t="shared" si="82"/>
        <v>236859.29</v>
      </c>
      <c r="J1198" s="126">
        <f t="shared" si="83"/>
        <v>236859.29</v>
      </c>
      <c r="K1198" s="94"/>
      <c r="M1198" s="95"/>
    </row>
    <row r="1199" spans="2:13" ht="22.5" outlineLevel="1" x14ac:dyDescent="0.2">
      <c r="B1199" s="92" t="s">
        <v>1121</v>
      </c>
      <c r="C1199" s="341">
        <v>43248</v>
      </c>
      <c r="D1199" s="369">
        <v>43830</v>
      </c>
      <c r="E1199" s="377">
        <v>80</v>
      </c>
      <c r="F1199" s="255">
        <v>69958.7</v>
      </c>
      <c r="G1199" s="252">
        <v>11602.12</v>
      </c>
      <c r="H1199" s="253"/>
      <c r="I1199" s="126">
        <f t="shared" si="82"/>
        <v>81560.819999999992</v>
      </c>
      <c r="J1199" s="126">
        <f t="shared" si="83"/>
        <v>81560.819999999992</v>
      </c>
      <c r="K1199" s="94"/>
      <c r="M1199" s="95"/>
    </row>
    <row r="1200" spans="2:13" outlineLevel="1" x14ac:dyDescent="0.2">
      <c r="B1200" s="92" t="s">
        <v>1122</v>
      </c>
      <c r="C1200" s="341">
        <v>43243</v>
      </c>
      <c r="D1200" s="369">
        <v>43830</v>
      </c>
      <c r="E1200" s="377">
        <v>60</v>
      </c>
      <c r="F1200" s="254">
        <v>31090.62</v>
      </c>
      <c r="G1200" s="252">
        <v>16531.38</v>
      </c>
      <c r="H1200" s="253"/>
      <c r="I1200" s="126">
        <f t="shared" si="82"/>
        <v>47622</v>
      </c>
      <c r="J1200" s="126">
        <f t="shared" si="83"/>
        <v>47622</v>
      </c>
      <c r="K1200" s="94"/>
      <c r="M1200" s="95"/>
    </row>
    <row r="1201" spans="2:13" outlineLevel="1" x14ac:dyDescent="0.2">
      <c r="B1201" s="92" t="s">
        <v>1123</v>
      </c>
      <c r="C1201" s="341">
        <v>43146</v>
      </c>
      <c r="D1201" s="369">
        <v>43830</v>
      </c>
      <c r="E1201" s="378">
        <v>60</v>
      </c>
      <c r="F1201" s="254">
        <v>32479.58</v>
      </c>
      <c r="G1201" s="252">
        <v>11223.32</v>
      </c>
      <c r="H1201" s="253"/>
      <c r="I1201" s="126">
        <f t="shared" si="82"/>
        <v>43702.9</v>
      </c>
      <c r="J1201" s="126">
        <f t="shared" si="83"/>
        <v>43702.9</v>
      </c>
      <c r="K1201" s="94"/>
      <c r="M1201" s="95"/>
    </row>
    <row r="1202" spans="2:13" ht="22.5" outlineLevel="1" x14ac:dyDescent="0.2">
      <c r="B1202" s="92" t="s">
        <v>1124</v>
      </c>
      <c r="C1202" s="341">
        <v>43174</v>
      </c>
      <c r="D1202" s="369">
        <v>43830</v>
      </c>
      <c r="E1202" s="378">
        <v>40</v>
      </c>
      <c r="F1202" s="254">
        <v>128539.25</v>
      </c>
      <c r="G1202" s="252">
        <v>16942.82</v>
      </c>
      <c r="H1202" s="253"/>
      <c r="I1202" s="126">
        <f t="shared" si="82"/>
        <v>145482.07</v>
      </c>
      <c r="J1202" s="126">
        <f t="shared" si="83"/>
        <v>145482.07</v>
      </c>
      <c r="K1202" s="94"/>
      <c r="M1202" s="95"/>
    </row>
    <row r="1203" spans="2:13" outlineLevel="1" x14ac:dyDescent="0.2">
      <c r="B1203" s="92" t="s">
        <v>1125</v>
      </c>
      <c r="C1203" s="341">
        <v>43256</v>
      </c>
      <c r="D1203" s="369">
        <v>43830</v>
      </c>
      <c r="E1203" s="378">
        <v>50</v>
      </c>
      <c r="F1203" s="304"/>
      <c r="G1203" s="252">
        <v>11223.32</v>
      </c>
      <c r="H1203" s="253"/>
      <c r="I1203" s="126">
        <f t="shared" si="82"/>
        <v>11223.32</v>
      </c>
      <c r="J1203" s="126">
        <f t="shared" si="83"/>
        <v>11223.32</v>
      </c>
      <c r="K1203" s="94"/>
      <c r="M1203" s="95"/>
    </row>
    <row r="1204" spans="2:13" ht="22.5" outlineLevel="1" x14ac:dyDescent="0.2">
      <c r="B1204" s="92" t="s">
        <v>1126</v>
      </c>
      <c r="C1204" s="341">
        <v>43132</v>
      </c>
      <c r="D1204" s="369">
        <v>43830</v>
      </c>
      <c r="E1204" s="378">
        <v>80</v>
      </c>
      <c r="F1204" s="254">
        <v>693683.06</v>
      </c>
      <c r="G1204" s="252">
        <v>14203.91</v>
      </c>
      <c r="H1204" s="253"/>
      <c r="I1204" s="126">
        <f t="shared" si="82"/>
        <v>707886.97000000009</v>
      </c>
      <c r="J1204" s="126">
        <f t="shared" si="83"/>
        <v>707886.97000000009</v>
      </c>
      <c r="K1204" s="94"/>
      <c r="M1204" s="95"/>
    </row>
    <row r="1205" spans="2:13" outlineLevel="1" x14ac:dyDescent="0.2">
      <c r="B1205" s="92" t="s">
        <v>1127</v>
      </c>
      <c r="C1205" s="341">
        <v>43215</v>
      </c>
      <c r="D1205" s="369">
        <v>43830</v>
      </c>
      <c r="E1205" s="378">
        <v>80</v>
      </c>
      <c r="F1205" s="254">
        <v>68140.92</v>
      </c>
      <c r="G1205" s="252">
        <v>11201.47</v>
      </c>
      <c r="H1205" s="253"/>
      <c r="I1205" s="126">
        <f t="shared" si="82"/>
        <v>79342.39</v>
      </c>
      <c r="J1205" s="126">
        <f t="shared" si="83"/>
        <v>79342.39</v>
      </c>
      <c r="K1205" s="94"/>
      <c r="M1205" s="95"/>
    </row>
    <row r="1206" spans="2:13" outlineLevel="1" x14ac:dyDescent="0.2">
      <c r="B1206" s="92" t="s">
        <v>1128</v>
      </c>
      <c r="C1206" s="341">
        <v>43248</v>
      </c>
      <c r="D1206" s="369">
        <v>43830</v>
      </c>
      <c r="E1206" s="378">
        <v>50</v>
      </c>
      <c r="F1206" s="304"/>
      <c r="G1206" s="252">
        <v>11201.47</v>
      </c>
      <c r="H1206" s="253"/>
      <c r="I1206" s="126">
        <f t="shared" si="82"/>
        <v>11201.47</v>
      </c>
      <c r="J1206" s="126">
        <f t="shared" si="83"/>
        <v>11201.47</v>
      </c>
      <c r="K1206" s="94"/>
      <c r="M1206" s="95"/>
    </row>
    <row r="1207" spans="2:13" outlineLevel="1" x14ac:dyDescent="0.2">
      <c r="B1207" s="92" t="s">
        <v>1129</v>
      </c>
      <c r="C1207" s="341">
        <v>43248</v>
      </c>
      <c r="D1207" s="369">
        <v>43830</v>
      </c>
      <c r="E1207" s="378">
        <v>70</v>
      </c>
      <c r="F1207" s="304"/>
      <c r="G1207" s="252">
        <v>11171.12</v>
      </c>
      <c r="H1207" s="253"/>
      <c r="I1207" s="126">
        <f t="shared" si="82"/>
        <v>11171.12</v>
      </c>
      <c r="J1207" s="126">
        <f t="shared" si="83"/>
        <v>11171.12</v>
      </c>
      <c r="K1207" s="94"/>
      <c r="M1207" s="95"/>
    </row>
    <row r="1208" spans="2:13" outlineLevel="1" x14ac:dyDescent="0.2">
      <c r="B1208" s="92" t="s">
        <v>1130</v>
      </c>
      <c r="C1208" s="341">
        <v>43279</v>
      </c>
      <c r="D1208" s="369">
        <v>43830</v>
      </c>
      <c r="E1208" s="378">
        <v>50</v>
      </c>
      <c r="F1208" s="254">
        <v>30966.55</v>
      </c>
      <c r="G1208" s="252">
        <v>11137.25</v>
      </c>
      <c r="H1208" s="253"/>
      <c r="I1208" s="126">
        <f t="shared" si="82"/>
        <v>42103.8</v>
      </c>
      <c r="J1208" s="126">
        <f t="shared" si="83"/>
        <v>42103.8</v>
      </c>
      <c r="K1208" s="94"/>
      <c r="M1208" s="95"/>
    </row>
    <row r="1209" spans="2:13" ht="22.5" outlineLevel="1" x14ac:dyDescent="0.2">
      <c r="B1209" s="92" t="s">
        <v>1131</v>
      </c>
      <c r="C1209" s="341">
        <v>43199</v>
      </c>
      <c r="D1209" s="369">
        <v>43830</v>
      </c>
      <c r="E1209" s="378">
        <v>50</v>
      </c>
      <c r="F1209" s="304"/>
      <c r="G1209" s="252">
        <v>14246.85</v>
      </c>
      <c r="H1209" s="253"/>
      <c r="I1209" s="126">
        <f t="shared" si="82"/>
        <v>14246.85</v>
      </c>
      <c r="J1209" s="126">
        <f t="shared" si="83"/>
        <v>14246.85</v>
      </c>
      <c r="K1209" s="94"/>
      <c r="M1209" s="95"/>
    </row>
    <row r="1210" spans="2:13" outlineLevel="1" x14ac:dyDescent="0.2">
      <c r="B1210" s="92" t="s">
        <v>1132</v>
      </c>
      <c r="C1210" s="341">
        <v>43259</v>
      </c>
      <c r="D1210" s="369">
        <v>43830</v>
      </c>
      <c r="E1210" s="378">
        <v>50</v>
      </c>
      <c r="F1210" s="304"/>
      <c r="G1210" s="252">
        <v>11244.41</v>
      </c>
      <c r="H1210" s="253"/>
      <c r="I1210" s="126">
        <f t="shared" si="82"/>
        <v>11244.41</v>
      </c>
      <c r="J1210" s="126">
        <f t="shared" si="83"/>
        <v>11244.41</v>
      </c>
      <c r="K1210" s="94"/>
      <c r="M1210" s="95"/>
    </row>
    <row r="1211" spans="2:13" outlineLevel="1" x14ac:dyDescent="0.2">
      <c r="B1211" s="92" t="s">
        <v>1133</v>
      </c>
      <c r="C1211" s="341">
        <v>43188</v>
      </c>
      <c r="D1211" s="369">
        <v>43830</v>
      </c>
      <c r="E1211" s="378">
        <v>60</v>
      </c>
      <c r="F1211" s="254">
        <v>38125.879999999997</v>
      </c>
      <c r="G1211" s="252">
        <v>8459.89</v>
      </c>
      <c r="H1211" s="253"/>
      <c r="I1211" s="126">
        <f t="shared" si="82"/>
        <v>46585.77</v>
      </c>
      <c r="J1211" s="126">
        <f t="shared" si="83"/>
        <v>46585.77</v>
      </c>
      <c r="K1211" s="94"/>
      <c r="M1211" s="95"/>
    </row>
    <row r="1212" spans="2:13" outlineLevel="1" x14ac:dyDescent="0.2">
      <c r="B1212" s="92" t="s">
        <v>1134</v>
      </c>
      <c r="C1212" s="341">
        <v>43260</v>
      </c>
      <c r="D1212" s="369">
        <v>43830</v>
      </c>
      <c r="E1212" s="378">
        <v>50</v>
      </c>
      <c r="F1212" s="254">
        <v>18129.849999999999</v>
      </c>
      <c r="G1212" s="252">
        <v>8459.89</v>
      </c>
      <c r="H1212" s="253"/>
      <c r="I1212" s="126">
        <f t="shared" si="82"/>
        <v>26589.739999999998</v>
      </c>
      <c r="J1212" s="126">
        <f t="shared" si="83"/>
        <v>26589.739999999998</v>
      </c>
      <c r="K1212" s="94"/>
      <c r="M1212" s="95"/>
    </row>
    <row r="1213" spans="2:13" ht="22.5" outlineLevel="1" x14ac:dyDescent="0.2">
      <c r="B1213" s="92" t="s">
        <v>1135</v>
      </c>
      <c r="C1213" s="341">
        <v>43227</v>
      </c>
      <c r="D1213" s="369">
        <v>43830</v>
      </c>
      <c r="E1213" s="378">
        <v>70</v>
      </c>
      <c r="F1213" s="255">
        <v>36260.300000000003</v>
      </c>
      <c r="G1213" s="252">
        <v>7435.74</v>
      </c>
      <c r="H1213" s="253"/>
      <c r="I1213" s="126">
        <f t="shared" si="82"/>
        <v>43696.04</v>
      </c>
      <c r="J1213" s="126">
        <f t="shared" si="83"/>
        <v>43696.04</v>
      </c>
      <c r="K1213" s="94"/>
      <c r="M1213" s="95"/>
    </row>
    <row r="1214" spans="2:13" outlineLevel="1" x14ac:dyDescent="0.2">
      <c r="B1214" s="92" t="s">
        <v>1136</v>
      </c>
      <c r="C1214" s="341"/>
      <c r="D1214" s="369">
        <v>43830</v>
      </c>
      <c r="E1214" s="378">
        <v>80</v>
      </c>
      <c r="F1214" s="257">
        <v>82225</v>
      </c>
      <c r="G1214" s="252">
        <v>11190.17</v>
      </c>
      <c r="H1214" s="253"/>
      <c r="I1214" s="126">
        <f t="shared" si="82"/>
        <v>93415.17</v>
      </c>
      <c r="J1214" s="126">
        <f t="shared" si="83"/>
        <v>93415.17</v>
      </c>
      <c r="K1214" s="94"/>
      <c r="M1214" s="95"/>
    </row>
    <row r="1215" spans="2:13" outlineLevel="1" x14ac:dyDescent="0.2">
      <c r="B1215" s="92" t="s">
        <v>1137</v>
      </c>
      <c r="C1215" s="341">
        <v>43291</v>
      </c>
      <c r="D1215" s="369">
        <v>43830</v>
      </c>
      <c r="E1215" s="378">
        <v>80</v>
      </c>
      <c r="F1215" s="254">
        <v>32058.97</v>
      </c>
      <c r="G1215" s="252">
        <v>10811.88</v>
      </c>
      <c r="H1215" s="253"/>
      <c r="I1215" s="126">
        <f t="shared" si="82"/>
        <v>42870.85</v>
      </c>
      <c r="J1215" s="126">
        <f t="shared" si="83"/>
        <v>42870.85</v>
      </c>
      <c r="K1215" s="94"/>
      <c r="M1215" s="95"/>
    </row>
    <row r="1216" spans="2:13" outlineLevel="1" x14ac:dyDescent="0.2">
      <c r="B1216" s="92" t="s">
        <v>1138</v>
      </c>
      <c r="C1216" s="341">
        <v>43287</v>
      </c>
      <c r="D1216" s="369">
        <v>43830</v>
      </c>
      <c r="E1216" s="378">
        <v>50</v>
      </c>
      <c r="F1216" s="254">
        <v>27832.28</v>
      </c>
      <c r="G1216" s="252">
        <v>10811.88</v>
      </c>
      <c r="H1216" s="253"/>
      <c r="I1216" s="126">
        <f t="shared" si="82"/>
        <v>38644.159999999996</v>
      </c>
      <c r="J1216" s="126">
        <f t="shared" si="83"/>
        <v>38644.159999999996</v>
      </c>
      <c r="K1216" s="94"/>
      <c r="M1216" s="95"/>
    </row>
    <row r="1217" spans="2:13" outlineLevel="1" x14ac:dyDescent="0.2">
      <c r="B1217" s="92" t="s">
        <v>1139</v>
      </c>
      <c r="C1217" s="341">
        <v>43283</v>
      </c>
      <c r="D1217" s="369">
        <v>43830</v>
      </c>
      <c r="E1217" s="378">
        <v>60</v>
      </c>
      <c r="F1217" s="254">
        <v>33248.85</v>
      </c>
      <c r="G1217" s="252">
        <v>10811.88</v>
      </c>
      <c r="H1217" s="253"/>
      <c r="I1217" s="126">
        <f t="shared" si="82"/>
        <v>44060.729999999996</v>
      </c>
      <c r="J1217" s="126">
        <f t="shared" si="83"/>
        <v>44060.729999999996</v>
      </c>
      <c r="K1217" s="94"/>
      <c r="M1217" s="95"/>
    </row>
    <row r="1218" spans="2:13" ht="22.5" outlineLevel="1" x14ac:dyDescent="0.2">
      <c r="B1218" s="92" t="s">
        <v>1140</v>
      </c>
      <c r="C1218" s="341">
        <v>43297</v>
      </c>
      <c r="D1218" s="369">
        <v>43830</v>
      </c>
      <c r="E1218" s="378">
        <v>50</v>
      </c>
      <c r="F1218" s="254">
        <v>25193.13</v>
      </c>
      <c r="G1218" s="252">
        <v>10811.88</v>
      </c>
      <c r="H1218" s="253"/>
      <c r="I1218" s="126">
        <f t="shared" si="82"/>
        <v>36005.01</v>
      </c>
      <c r="J1218" s="126">
        <f t="shared" si="83"/>
        <v>36005.01</v>
      </c>
      <c r="K1218" s="94"/>
      <c r="M1218" s="95"/>
    </row>
    <row r="1219" spans="2:13" outlineLevel="1" x14ac:dyDescent="0.2">
      <c r="B1219" s="92" t="s">
        <v>1141</v>
      </c>
      <c r="C1219" s="341">
        <v>43290</v>
      </c>
      <c r="D1219" s="369">
        <v>43830</v>
      </c>
      <c r="E1219" s="378">
        <v>50</v>
      </c>
      <c r="F1219" s="254">
        <v>52627.07</v>
      </c>
      <c r="G1219" s="252">
        <v>10811.88</v>
      </c>
      <c r="H1219" s="253"/>
      <c r="I1219" s="126">
        <f t="shared" si="82"/>
        <v>63438.95</v>
      </c>
      <c r="J1219" s="126">
        <f t="shared" si="83"/>
        <v>63438.95</v>
      </c>
      <c r="K1219" s="94"/>
      <c r="M1219" s="95"/>
    </row>
    <row r="1220" spans="2:13" outlineLevel="1" x14ac:dyDescent="0.2">
      <c r="B1220" s="92" t="s">
        <v>1142</v>
      </c>
      <c r="C1220" s="341">
        <v>43277</v>
      </c>
      <c r="D1220" s="369">
        <v>43830</v>
      </c>
      <c r="E1220" s="378">
        <v>50</v>
      </c>
      <c r="F1220" s="254">
        <v>28206.560000000001</v>
      </c>
      <c r="G1220" s="252">
        <v>10811.88</v>
      </c>
      <c r="H1220" s="253"/>
      <c r="I1220" s="126">
        <f t="shared" si="82"/>
        <v>39018.44</v>
      </c>
      <c r="J1220" s="126">
        <f t="shared" si="83"/>
        <v>39018.44</v>
      </c>
      <c r="K1220" s="94"/>
      <c r="M1220" s="95"/>
    </row>
    <row r="1221" spans="2:13" outlineLevel="1" x14ac:dyDescent="0.2">
      <c r="B1221" s="92" t="s">
        <v>1143</v>
      </c>
      <c r="C1221" s="341">
        <v>43292</v>
      </c>
      <c r="D1221" s="369">
        <v>43830</v>
      </c>
      <c r="E1221" s="378">
        <v>60</v>
      </c>
      <c r="F1221" s="257">
        <v>31866</v>
      </c>
      <c r="G1221" s="252">
        <v>10811.88</v>
      </c>
      <c r="H1221" s="253"/>
      <c r="I1221" s="126">
        <f t="shared" si="82"/>
        <v>42677.88</v>
      </c>
      <c r="J1221" s="126">
        <f t="shared" si="83"/>
        <v>42677.88</v>
      </c>
      <c r="K1221" s="94"/>
      <c r="M1221" s="95"/>
    </row>
    <row r="1222" spans="2:13" outlineLevel="1" x14ac:dyDescent="0.2">
      <c r="B1222" s="92" t="s">
        <v>1144</v>
      </c>
      <c r="C1222" s="341">
        <v>43319</v>
      </c>
      <c r="D1222" s="369">
        <v>43830</v>
      </c>
      <c r="E1222" s="378">
        <v>40</v>
      </c>
      <c r="F1222" s="304"/>
      <c r="G1222" s="252">
        <v>4602.05</v>
      </c>
      <c r="H1222" s="253"/>
      <c r="I1222" s="126">
        <f t="shared" si="82"/>
        <v>4602.05</v>
      </c>
      <c r="J1222" s="126">
        <f t="shared" si="83"/>
        <v>4602.05</v>
      </c>
      <c r="K1222" s="94"/>
      <c r="M1222" s="95"/>
    </row>
    <row r="1223" spans="2:13" outlineLevel="1" x14ac:dyDescent="0.2">
      <c r="B1223" s="92" t="s">
        <v>1145</v>
      </c>
      <c r="C1223" s="341">
        <v>43249</v>
      </c>
      <c r="D1223" s="369">
        <v>43830</v>
      </c>
      <c r="E1223" s="378">
        <v>70</v>
      </c>
      <c r="F1223" s="254">
        <v>67061.710000000006</v>
      </c>
      <c r="G1223" s="252">
        <v>17709.91</v>
      </c>
      <c r="H1223" s="253"/>
      <c r="I1223" s="126">
        <f t="shared" si="82"/>
        <v>84771.62000000001</v>
      </c>
      <c r="J1223" s="126">
        <f t="shared" si="83"/>
        <v>84771.62000000001</v>
      </c>
      <c r="K1223" s="94"/>
      <c r="M1223" s="95"/>
    </row>
    <row r="1224" spans="2:13" ht="22.5" outlineLevel="1" x14ac:dyDescent="0.2">
      <c r="B1224" s="92" t="s">
        <v>1146</v>
      </c>
      <c r="C1224" s="341">
        <v>43291</v>
      </c>
      <c r="D1224" s="369">
        <v>43830</v>
      </c>
      <c r="E1224" s="378">
        <v>60</v>
      </c>
      <c r="F1224" s="254">
        <v>36418.559999999998</v>
      </c>
      <c r="G1224" s="252">
        <v>11694.25</v>
      </c>
      <c r="H1224" s="253"/>
      <c r="I1224" s="126">
        <f t="shared" si="82"/>
        <v>48112.81</v>
      </c>
      <c r="J1224" s="126">
        <f t="shared" si="83"/>
        <v>48112.81</v>
      </c>
      <c r="K1224" s="94"/>
      <c r="M1224" s="95"/>
    </row>
    <row r="1225" spans="2:13" outlineLevel="1" x14ac:dyDescent="0.2">
      <c r="B1225" s="92" t="s">
        <v>1147</v>
      </c>
      <c r="C1225" s="341">
        <v>43234</v>
      </c>
      <c r="D1225" s="369">
        <v>43830</v>
      </c>
      <c r="E1225" s="378">
        <v>50</v>
      </c>
      <c r="F1225" s="254">
        <v>34724.720000000001</v>
      </c>
      <c r="G1225" s="252">
        <v>11642.52</v>
      </c>
      <c r="H1225" s="253"/>
      <c r="I1225" s="126">
        <f t="shared" si="82"/>
        <v>46367.240000000005</v>
      </c>
      <c r="J1225" s="126">
        <f t="shared" si="83"/>
        <v>46367.240000000005</v>
      </c>
      <c r="K1225" s="94"/>
      <c r="M1225" s="95"/>
    </row>
    <row r="1226" spans="2:13" outlineLevel="1" x14ac:dyDescent="0.2">
      <c r="B1226" s="92" t="s">
        <v>1148</v>
      </c>
      <c r="C1226" s="341">
        <v>43171</v>
      </c>
      <c r="D1226" s="369">
        <v>43830</v>
      </c>
      <c r="E1226" s="378">
        <v>50</v>
      </c>
      <c r="F1226" s="304"/>
      <c r="G1226" s="252">
        <v>8212.7000000000007</v>
      </c>
      <c r="H1226" s="253"/>
      <c r="I1226" s="126">
        <f t="shared" si="82"/>
        <v>8212.7000000000007</v>
      </c>
      <c r="J1226" s="126">
        <f t="shared" si="83"/>
        <v>8212.7000000000007</v>
      </c>
      <c r="K1226" s="94"/>
      <c r="M1226" s="95"/>
    </row>
    <row r="1227" spans="2:13" outlineLevel="1" x14ac:dyDescent="0.2">
      <c r="B1227" s="92" t="s">
        <v>1149</v>
      </c>
      <c r="C1227" s="341">
        <v>43299</v>
      </c>
      <c r="D1227" s="369">
        <v>43830</v>
      </c>
      <c r="E1227" s="378">
        <v>70</v>
      </c>
      <c r="F1227" s="254">
        <v>48923.14</v>
      </c>
      <c r="G1227" s="252">
        <v>10929.76</v>
      </c>
      <c r="H1227" s="253"/>
      <c r="I1227" s="126">
        <f t="shared" si="82"/>
        <v>59852.9</v>
      </c>
      <c r="J1227" s="126">
        <f t="shared" si="83"/>
        <v>59852.9</v>
      </c>
      <c r="K1227" s="94"/>
      <c r="M1227" s="95"/>
    </row>
    <row r="1228" spans="2:13" ht="22.5" outlineLevel="1" x14ac:dyDescent="0.2">
      <c r="B1228" s="92" t="s">
        <v>1150</v>
      </c>
      <c r="C1228" s="341">
        <v>43137</v>
      </c>
      <c r="D1228" s="369">
        <v>43830</v>
      </c>
      <c r="E1228" s="378">
        <v>60</v>
      </c>
      <c r="F1228" s="254">
        <v>33142.58</v>
      </c>
      <c r="G1228" s="252">
        <v>14421.03</v>
      </c>
      <c r="H1228" s="253"/>
      <c r="I1228" s="126">
        <f t="shared" si="82"/>
        <v>47563.61</v>
      </c>
      <c r="J1228" s="126">
        <f t="shared" si="83"/>
        <v>47563.61</v>
      </c>
      <c r="K1228" s="94"/>
      <c r="M1228" s="95"/>
    </row>
    <row r="1229" spans="2:13" outlineLevel="1" x14ac:dyDescent="0.2">
      <c r="B1229" s="92" t="s">
        <v>1151</v>
      </c>
      <c r="C1229" s="341">
        <v>43236</v>
      </c>
      <c r="D1229" s="369">
        <v>43830</v>
      </c>
      <c r="E1229" s="378">
        <v>50</v>
      </c>
      <c r="F1229" s="304"/>
      <c r="G1229" s="252">
        <v>11540.99</v>
      </c>
      <c r="H1229" s="253"/>
      <c r="I1229" s="126">
        <f t="shared" si="82"/>
        <v>11540.99</v>
      </c>
      <c r="J1229" s="126">
        <f t="shared" si="83"/>
        <v>11540.99</v>
      </c>
      <c r="K1229" s="94"/>
      <c r="M1229" s="95"/>
    </row>
    <row r="1230" spans="2:13" ht="22.5" outlineLevel="1" x14ac:dyDescent="0.2">
      <c r="B1230" s="92" t="s">
        <v>1152</v>
      </c>
      <c r="C1230" s="341">
        <v>43276</v>
      </c>
      <c r="D1230" s="369">
        <v>43830</v>
      </c>
      <c r="E1230" s="378">
        <v>50</v>
      </c>
      <c r="F1230" s="304"/>
      <c r="G1230" s="252">
        <v>11592.72</v>
      </c>
      <c r="H1230" s="253"/>
      <c r="I1230" s="126">
        <f t="shared" si="82"/>
        <v>11592.72</v>
      </c>
      <c r="J1230" s="126">
        <f t="shared" si="83"/>
        <v>11592.72</v>
      </c>
      <c r="K1230" s="94"/>
      <c r="M1230" s="95"/>
    </row>
    <row r="1231" spans="2:13" outlineLevel="1" x14ac:dyDescent="0.2">
      <c r="B1231" s="92" t="s">
        <v>1153</v>
      </c>
      <c r="C1231" s="341">
        <v>43218</v>
      </c>
      <c r="D1231" s="369">
        <v>43830</v>
      </c>
      <c r="E1231" s="378">
        <v>70</v>
      </c>
      <c r="F1231" s="254">
        <v>60424.47</v>
      </c>
      <c r="G1231" s="252">
        <v>4919.95</v>
      </c>
      <c r="H1231" s="253"/>
      <c r="I1231" s="126">
        <f t="shared" si="82"/>
        <v>65344.42</v>
      </c>
      <c r="J1231" s="126">
        <f t="shared" si="83"/>
        <v>65344.42</v>
      </c>
      <c r="K1231" s="94"/>
      <c r="M1231" s="95"/>
    </row>
    <row r="1232" spans="2:13" outlineLevel="1" x14ac:dyDescent="0.2">
      <c r="B1232" s="92" t="s">
        <v>1154</v>
      </c>
      <c r="C1232" s="341">
        <v>43272</v>
      </c>
      <c r="D1232" s="369">
        <v>43830</v>
      </c>
      <c r="E1232" s="378">
        <v>50</v>
      </c>
      <c r="F1232" s="254">
        <v>19368.68</v>
      </c>
      <c r="G1232" s="252">
        <v>11548.05</v>
      </c>
      <c r="H1232" s="253"/>
      <c r="I1232" s="126">
        <f t="shared" si="82"/>
        <v>30916.73</v>
      </c>
      <c r="J1232" s="126">
        <f t="shared" si="83"/>
        <v>30916.73</v>
      </c>
      <c r="K1232" s="94"/>
      <c r="M1232" s="95"/>
    </row>
    <row r="1233" spans="2:13" outlineLevel="1" x14ac:dyDescent="0.2">
      <c r="B1233" s="92" t="s">
        <v>1155</v>
      </c>
      <c r="C1233" s="341">
        <v>43237</v>
      </c>
      <c r="D1233" s="369">
        <v>43830</v>
      </c>
      <c r="E1233" s="378">
        <v>50</v>
      </c>
      <c r="F1233" s="254">
        <v>38595.089999999997</v>
      </c>
      <c r="G1233" s="252">
        <v>11540.99</v>
      </c>
      <c r="H1233" s="253"/>
      <c r="I1233" s="126">
        <f t="shared" si="82"/>
        <v>50136.079999999994</v>
      </c>
      <c r="J1233" s="126">
        <f t="shared" si="83"/>
        <v>50136.079999999994</v>
      </c>
      <c r="K1233" s="94"/>
      <c r="M1233" s="95"/>
    </row>
    <row r="1234" spans="2:13" outlineLevel="1" x14ac:dyDescent="0.2">
      <c r="B1234" s="92" t="s">
        <v>1156</v>
      </c>
      <c r="C1234" s="341">
        <v>43313</v>
      </c>
      <c r="D1234" s="369">
        <v>43830</v>
      </c>
      <c r="E1234" s="378">
        <v>50</v>
      </c>
      <c r="F1234" s="254">
        <v>25364.67</v>
      </c>
      <c r="G1234" s="252">
        <v>10811.86</v>
      </c>
      <c r="H1234" s="253"/>
      <c r="I1234" s="126">
        <f t="shared" si="82"/>
        <v>36176.53</v>
      </c>
      <c r="J1234" s="126">
        <f t="shared" si="83"/>
        <v>36176.53</v>
      </c>
      <c r="K1234" s="94"/>
      <c r="M1234" s="95"/>
    </row>
    <row r="1235" spans="2:13" outlineLevel="1" x14ac:dyDescent="0.2">
      <c r="B1235" s="92" t="s">
        <v>1157</v>
      </c>
      <c r="C1235" s="341">
        <v>43293</v>
      </c>
      <c r="D1235" s="369">
        <v>43830</v>
      </c>
      <c r="E1235" s="378">
        <v>60</v>
      </c>
      <c r="F1235" s="254">
        <v>36284.57</v>
      </c>
      <c r="G1235" s="252">
        <v>10811.86</v>
      </c>
      <c r="H1235" s="253"/>
      <c r="I1235" s="126">
        <f t="shared" si="82"/>
        <v>47096.43</v>
      </c>
      <c r="J1235" s="126">
        <f t="shared" si="83"/>
        <v>47096.43</v>
      </c>
      <c r="K1235" s="94"/>
      <c r="M1235" s="95"/>
    </row>
    <row r="1236" spans="2:13" outlineLevel="1" x14ac:dyDescent="0.2">
      <c r="B1236" s="92" t="s">
        <v>1158</v>
      </c>
      <c r="C1236" s="341">
        <v>43200</v>
      </c>
      <c r="D1236" s="369">
        <v>43830</v>
      </c>
      <c r="E1236" s="378">
        <v>30</v>
      </c>
      <c r="F1236" s="304"/>
      <c r="G1236" s="252">
        <v>4789.51</v>
      </c>
      <c r="H1236" s="253"/>
      <c r="I1236" s="126">
        <f t="shared" si="82"/>
        <v>4789.51</v>
      </c>
      <c r="J1236" s="126">
        <f t="shared" si="83"/>
        <v>4789.51</v>
      </c>
      <c r="K1236" s="94"/>
      <c r="M1236" s="95"/>
    </row>
    <row r="1237" spans="2:13" outlineLevel="1" x14ac:dyDescent="0.2">
      <c r="B1237" s="92" t="s">
        <v>1159</v>
      </c>
      <c r="C1237" s="341">
        <v>43251</v>
      </c>
      <c r="D1237" s="369">
        <v>43830</v>
      </c>
      <c r="E1237" s="378">
        <v>30</v>
      </c>
      <c r="F1237" s="257">
        <v>54574</v>
      </c>
      <c r="G1237" s="252">
        <v>13417.8</v>
      </c>
      <c r="H1237" s="253"/>
      <c r="I1237" s="126">
        <f t="shared" si="82"/>
        <v>67991.8</v>
      </c>
      <c r="J1237" s="126">
        <f t="shared" si="83"/>
        <v>67991.8</v>
      </c>
      <c r="K1237" s="94"/>
      <c r="M1237" s="95"/>
    </row>
    <row r="1238" spans="2:13" outlineLevel="1" x14ac:dyDescent="0.2">
      <c r="B1238" s="92" t="s">
        <v>1160</v>
      </c>
      <c r="C1238" s="341">
        <v>43227</v>
      </c>
      <c r="D1238" s="369">
        <v>43830</v>
      </c>
      <c r="E1238" s="378">
        <v>50</v>
      </c>
      <c r="F1238" s="304"/>
      <c r="G1238" s="252">
        <v>20973.439999999999</v>
      </c>
      <c r="H1238" s="253"/>
      <c r="I1238" s="126">
        <f t="shared" ref="I1238:I1301" si="84">F1238+G1238+H1238</f>
        <v>20973.439999999999</v>
      </c>
      <c r="J1238" s="126">
        <f t="shared" ref="J1238:J1301" si="85">I1238</f>
        <v>20973.439999999999</v>
      </c>
      <c r="K1238" s="94"/>
      <c r="M1238" s="95"/>
    </row>
    <row r="1239" spans="2:13" outlineLevel="1" x14ac:dyDescent="0.2">
      <c r="B1239" s="92" t="s">
        <v>1161</v>
      </c>
      <c r="C1239" s="341">
        <v>43293</v>
      </c>
      <c r="D1239" s="369">
        <v>43830</v>
      </c>
      <c r="E1239" s="378">
        <v>50</v>
      </c>
      <c r="F1239" s="254">
        <v>32149.61</v>
      </c>
      <c r="G1239" s="252">
        <v>10736.75</v>
      </c>
      <c r="H1239" s="253"/>
      <c r="I1239" s="126">
        <f t="shared" si="84"/>
        <v>42886.36</v>
      </c>
      <c r="J1239" s="126">
        <f t="shared" si="85"/>
        <v>42886.36</v>
      </c>
      <c r="K1239" s="94"/>
      <c r="M1239" s="95"/>
    </row>
    <row r="1240" spans="2:13" outlineLevel="1" x14ac:dyDescent="0.2">
      <c r="B1240" s="92" t="s">
        <v>1162</v>
      </c>
      <c r="C1240" s="341">
        <v>43279</v>
      </c>
      <c r="D1240" s="369">
        <v>43830</v>
      </c>
      <c r="E1240" s="378">
        <v>50</v>
      </c>
      <c r="F1240" s="254">
        <v>48163.44</v>
      </c>
      <c r="G1240" s="252">
        <v>10685.02</v>
      </c>
      <c r="H1240" s="253"/>
      <c r="I1240" s="126">
        <f t="shared" si="84"/>
        <v>58848.460000000006</v>
      </c>
      <c r="J1240" s="126">
        <f t="shared" si="85"/>
        <v>58848.460000000006</v>
      </c>
      <c r="K1240" s="94"/>
      <c r="M1240" s="95"/>
    </row>
    <row r="1241" spans="2:13" outlineLevel="1" x14ac:dyDescent="0.2">
      <c r="B1241" s="92" t="s">
        <v>1163</v>
      </c>
      <c r="C1241" s="341">
        <v>43213</v>
      </c>
      <c r="D1241" s="369">
        <v>43830</v>
      </c>
      <c r="E1241" s="378">
        <v>50</v>
      </c>
      <c r="F1241" s="254">
        <v>43354.720000000001</v>
      </c>
      <c r="G1241" s="252">
        <v>11249.61</v>
      </c>
      <c r="H1241" s="253"/>
      <c r="I1241" s="126">
        <f t="shared" si="84"/>
        <v>54604.33</v>
      </c>
      <c r="J1241" s="126">
        <f t="shared" si="85"/>
        <v>54604.33</v>
      </c>
      <c r="K1241" s="94"/>
      <c r="M1241" s="95"/>
    </row>
    <row r="1242" spans="2:13" outlineLevel="1" x14ac:dyDescent="0.2">
      <c r="B1242" s="92" t="s">
        <v>1164</v>
      </c>
      <c r="C1242" s="341">
        <v>43269</v>
      </c>
      <c r="D1242" s="369">
        <v>43830</v>
      </c>
      <c r="E1242" s="378">
        <v>50</v>
      </c>
      <c r="F1242" s="254">
        <v>28627.68</v>
      </c>
      <c r="G1242" s="252">
        <v>11249.61</v>
      </c>
      <c r="H1242" s="253"/>
      <c r="I1242" s="126">
        <f t="shared" si="84"/>
        <v>39877.29</v>
      </c>
      <c r="J1242" s="126">
        <f t="shared" si="85"/>
        <v>39877.29</v>
      </c>
      <c r="K1242" s="94"/>
      <c r="M1242" s="95"/>
    </row>
    <row r="1243" spans="2:13" ht="22.5" outlineLevel="1" x14ac:dyDescent="0.2">
      <c r="B1243" s="92" t="s">
        <v>1165</v>
      </c>
      <c r="C1243" s="375" t="s">
        <v>1482</v>
      </c>
      <c r="D1243" s="369">
        <v>43830</v>
      </c>
      <c r="E1243" s="378">
        <v>50</v>
      </c>
      <c r="F1243" s="254">
        <v>101171.19</v>
      </c>
      <c r="G1243" s="252">
        <v>20594.21</v>
      </c>
      <c r="H1243" s="253"/>
      <c r="I1243" s="126">
        <f t="shared" si="84"/>
        <v>121765.4</v>
      </c>
      <c r="J1243" s="126">
        <f t="shared" si="85"/>
        <v>121765.4</v>
      </c>
      <c r="K1243" s="94"/>
      <c r="M1243" s="95"/>
    </row>
    <row r="1244" spans="2:13" ht="22.5" outlineLevel="1" x14ac:dyDescent="0.2">
      <c r="B1244" s="92" t="s">
        <v>1166</v>
      </c>
      <c r="C1244" s="341">
        <v>43192</v>
      </c>
      <c r="D1244" s="369">
        <v>43830</v>
      </c>
      <c r="E1244" s="378">
        <v>50</v>
      </c>
      <c r="F1244" s="304"/>
      <c r="G1244" s="252">
        <v>32388.799999999999</v>
      </c>
      <c r="H1244" s="253"/>
      <c r="I1244" s="126">
        <f t="shared" si="84"/>
        <v>32388.799999999999</v>
      </c>
      <c r="J1244" s="126">
        <f t="shared" si="85"/>
        <v>32388.799999999999</v>
      </c>
      <c r="K1244" s="94"/>
      <c r="M1244" s="95"/>
    </row>
    <row r="1245" spans="2:13" outlineLevel="1" x14ac:dyDescent="0.2">
      <c r="B1245" s="92" t="s">
        <v>1167</v>
      </c>
      <c r="C1245" s="341">
        <v>43206</v>
      </c>
      <c r="D1245" s="369">
        <v>43830</v>
      </c>
      <c r="E1245" s="378">
        <v>50</v>
      </c>
      <c r="F1245" s="304"/>
      <c r="G1245" s="252">
        <v>20073.830000000002</v>
      </c>
      <c r="H1245" s="253"/>
      <c r="I1245" s="126">
        <f t="shared" si="84"/>
        <v>20073.830000000002</v>
      </c>
      <c r="J1245" s="126">
        <f t="shared" si="85"/>
        <v>20073.830000000002</v>
      </c>
      <c r="K1245" s="94"/>
      <c r="M1245" s="95"/>
    </row>
    <row r="1246" spans="2:13" outlineLevel="1" x14ac:dyDescent="0.2">
      <c r="B1246" s="92" t="s">
        <v>1168</v>
      </c>
      <c r="C1246" s="341">
        <v>43189</v>
      </c>
      <c r="D1246" s="369">
        <v>43830</v>
      </c>
      <c r="E1246" s="378">
        <v>50</v>
      </c>
      <c r="F1246" s="304"/>
      <c r="G1246" s="252">
        <v>25050.49</v>
      </c>
      <c r="H1246" s="253"/>
      <c r="I1246" s="126">
        <f t="shared" si="84"/>
        <v>25050.49</v>
      </c>
      <c r="J1246" s="126">
        <f t="shared" si="85"/>
        <v>25050.49</v>
      </c>
      <c r="K1246" s="94"/>
      <c r="M1246" s="95"/>
    </row>
    <row r="1247" spans="2:13" outlineLevel="1" x14ac:dyDescent="0.2">
      <c r="B1247" s="92" t="s">
        <v>1169</v>
      </c>
      <c r="C1247" s="341">
        <v>43265</v>
      </c>
      <c r="D1247" s="369">
        <v>43830</v>
      </c>
      <c r="E1247" s="378">
        <v>50</v>
      </c>
      <c r="F1247" s="304"/>
      <c r="G1247" s="252">
        <v>17191.09</v>
      </c>
      <c r="H1247" s="253"/>
      <c r="I1247" s="126">
        <f t="shared" si="84"/>
        <v>17191.09</v>
      </c>
      <c r="J1247" s="126">
        <f t="shared" si="85"/>
        <v>17191.09</v>
      </c>
      <c r="K1247" s="94"/>
      <c r="M1247" s="95"/>
    </row>
    <row r="1248" spans="2:13" outlineLevel="1" x14ac:dyDescent="0.2">
      <c r="B1248" s="92" t="s">
        <v>1170</v>
      </c>
      <c r="C1248" s="341">
        <v>43286</v>
      </c>
      <c r="D1248" s="369">
        <v>43830</v>
      </c>
      <c r="E1248" s="378">
        <v>50</v>
      </c>
      <c r="F1248" s="254">
        <v>37267.58</v>
      </c>
      <c r="G1248" s="252">
        <v>17267.38</v>
      </c>
      <c r="H1248" s="253"/>
      <c r="I1248" s="126">
        <f t="shared" si="84"/>
        <v>54534.960000000006</v>
      </c>
      <c r="J1248" s="126">
        <f t="shared" si="85"/>
        <v>54534.960000000006</v>
      </c>
      <c r="K1248" s="94"/>
      <c r="M1248" s="95"/>
    </row>
    <row r="1249" spans="2:13" outlineLevel="1" x14ac:dyDescent="0.2">
      <c r="B1249" s="92" t="s">
        <v>1171</v>
      </c>
      <c r="C1249" s="341">
        <v>43270</v>
      </c>
      <c r="D1249" s="369">
        <v>43830</v>
      </c>
      <c r="E1249" s="378">
        <v>50</v>
      </c>
      <c r="F1249" s="254">
        <v>661245.34</v>
      </c>
      <c r="G1249" s="252">
        <v>25596.13</v>
      </c>
      <c r="H1249" s="253"/>
      <c r="I1249" s="126">
        <f t="shared" si="84"/>
        <v>686841.47</v>
      </c>
      <c r="J1249" s="126">
        <f t="shared" si="85"/>
        <v>686841.47</v>
      </c>
      <c r="K1249" s="94"/>
      <c r="M1249" s="95"/>
    </row>
    <row r="1250" spans="2:13" outlineLevel="1" x14ac:dyDescent="0.2">
      <c r="B1250" s="92" t="s">
        <v>1172</v>
      </c>
      <c r="C1250" s="341">
        <v>43312</v>
      </c>
      <c r="D1250" s="369">
        <v>43830</v>
      </c>
      <c r="E1250" s="378">
        <v>50</v>
      </c>
      <c r="F1250" s="254">
        <v>34773.94</v>
      </c>
      <c r="G1250" s="252">
        <v>23342.06</v>
      </c>
      <c r="H1250" s="253"/>
      <c r="I1250" s="126">
        <f t="shared" si="84"/>
        <v>58116</v>
      </c>
      <c r="J1250" s="126">
        <f t="shared" si="85"/>
        <v>58116</v>
      </c>
      <c r="K1250" s="94"/>
      <c r="M1250" s="95"/>
    </row>
    <row r="1251" spans="2:13" outlineLevel="1" x14ac:dyDescent="0.2">
      <c r="B1251" s="92" t="s">
        <v>1173</v>
      </c>
      <c r="C1251" s="341">
        <v>43223</v>
      </c>
      <c r="D1251" s="369">
        <v>43830</v>
      </c>
      <c r="E1251" s="378">
        <v>50</v>
      </c>
      <c r="F1251" s="304"/>
      <c r="G1251" s="252">
        <v>11660.64</v>
      </c>
      <c r="H1251" s="253"/>
      <c r="I1251" s="126">
        <f t="shared" si="84"/>
        <v>11660.64</v>
      </c>
      <c r="J1251" s="126">
        <f t="shared" si="85"/>
        <v>11660.64</v>
      </c>
      <c r="K1251" s="94"/>
      <c r="M1251" s="95"/>
    </row>
    <row r="1252" spans="2:13" outlineLevel="1" x14ac:dyDescent="0.2">
      <c r="B1252" s="92" t="s">
        <v>1174</v>
      </c>
      <c r="C1252" s="341">
        <v>43200</v>
      </c>
      <c r="D1252" s="369">
        <v>43830</v>
      </c>
      <c r="E1252" s="378">
        <v>50</v>
      </c>
      <c r="F1252" s="304"/>
      <c r="G1252" s="252">
        <v>5915.32</v>
      </c>
      <c r="H1252" s="253"/>
      <c r="I1252" s="126">
        <f t="shared" si="84"/>
        <v>5915.32</v>
      </c>
      <c r="J1252" s="126">
        <f t="shared" si="85"/>
        <v>5915.32</v>
      </c>
      <c r="K1252" s="94"/>
      <c r="M1252" s="95"/>
    </row>
    <row r="1253" spans="2:13" outlineLevel="1" x14ac:dyDescent="0.2">
      <c r="B1253" s="92" t="s">
        <v>1175</v>
      </c>
      <c r="C1253" s="341">
        <v>43138</v>
      </c>
      <c r="D1253" s="369">
        <v>43830</v>
      </c>
      <c r="E1253" s="378">
        <v>50</v>
      </c>
      <c r="F1253" s="304"/>
      <c r="G1253" s="252">
        <v>10756.4</v>
      </c>
      <c r="H1253" s="253"/>
      <c r="I1253" s="126">
        <f t="shared" si="84"/>
        <v>10756.4</v>
      </c>
      <c r="J1253" s="126">
        <f t="shared" si="85"/>
        <v>10756.4</v>
      </c>
      <c r="K1253" s="94"/>
      <c r="M1253" s="95"/>
    </row>
    <row r="1254" spans="2:13" outlineLevel="1" x14ac:dyDescent="0.2">
      <c r="B1254" s="92" t="s">
        <v>1176</v>
      </c>
      <c r="C1254" s="341">
        <v>43200</v>
      </c>
      <c r="D1254" s="369">
        <v>43830</v>
      </c>
      <c r="E1254" s="378">
        <v>50</v>
      </c>
      <c r="F1254" s="254">
        <v>399932.43</v>
      </c>
      <c r="G1254" s="252">
        <v>10611.17</v>
      </c>
      <c r="H1254" s="253"/>
      <c r="I1254" s="126">
        <f t="shared" si="84"/>
        <v>410543.6</v>
      </c>
      <c r="J1254" s="126">
        <f t="shared" si="85"/>
        <v>410543.6</v>
      </c>
      <c r="K1254" s="94"/>
      <c r="M1254" s="95"/>
    </row>
    <row r="1255" spans="2:13" outlineLevel="1" x14ac:dyDescent="0.2">
      <c r="B1255" s="92" t="s">
        <v>1177</v>
      </c>
      <c r="C1255" s="341">
        <v>43200</v>
      </c>
      <c r="D1255" s="369">
        <v>43830</v>
      </c>
      <c r="E1255" s="378">
        <v>50</v>
      </c>
      <c r="F1255" s="304"/>
      <c r="G1255" s="252">
        <v>11660.65</v>
      </c>
      <c r="H1255" s="253"/>
      <c r="I1255" s="126">
        <f t="shared" si="84"/>
        <v>11660.65</v>
      </c>
      <c r="J1255" s="126">
        <f t="shared" si="85"/>
        <v>11660.65</v>
      </c>
      <c r="K1255" s="94"/>
      <c r="M1255" s="95"/>
    </row>
    <row r="1256" spans="2:13" outlineLevel="1" x14ac:dyDescent="0.2">
      <c r="B1256" s="92" t="s">
        <v>1178</v>
      </c>
      <c r="C1256" s="341">
        <v>43244</v>
      </c>
      <c r="D1256" s="369">
        <v>43830</v>
      </c>
      <c r="E1256" s="378">
        <v>50</v>
      </c>
      <c r="F1256" s="304"/>
      <c r="G1256" s="252">
        <v>5537.5</v>
      </c>
      <c r="H1256" s="253"/>
      <c r="I1256" s="126">
        <f t="shared" si="84"/>
        <v>5537.5</v>
      </c>
      <c r="J1256" s="126">
        <f t="shared" si="85"/>
        <v>5537.5</v>
      </c>
      <c r="K1256" s="94"/>
      <c r="M1256" s="95"/>
    </row>
    <row r="1257" spans="2:13" ht="22.5" outlineLevel="1" x14ac:dyDescent="0.2">
      <c r="B1257" s="92" t="s">
        <v>1179</v>
      </c>
      <c r="C1257" s="341">
        <v>43062</v>
      </c>
      <c r="D1257" s="369">
        <v>43830</v>
      </c>
      <c r="E1257" s="378">
        <v>50</v>
      </c>
      <c r="F1257" s="304"/>
      <c r="G1257" s="252">
        <v>17491</v>
      </c>
      <c r="H1257" s="253"/>
      <c r="I1257" s="126">
        <f t="shared" si="84"/>
        <v>17491</v>
      </c>
      <c r="J1257" s="126">
        <f t="shared" si="85"/>
        <v>17491</v>
      </c>
      <c r="K1257" s="94"/>
      <c r="M1257" s="95"/>
    </row>
    <row r="1258" spans="2:13" outlineLevel="1" x14ac:dyDescent="0.2">
      <c r="B1258" s="92" t="s">
        <v>1180</v>
      </c>
      <c r="C1258" s="341">
        <v>43237</v>
      </c>
      <c r="D1258" s="369">
        <v>43830</v>
      </c>
      <c r="E1258" s="378">
        <v>50</v>
      </c>
      <c r="F1258" s="304"/>
      <c r="G1258" s="252">
        <v>11098.57</v>
      </c>
      <c r="H1258" s="253"/>
      <c r="I1258" s="126">
        <f t="shared" si="84"/>
        <v>11098.57</v>
      </c>
      <c r="J1258" s="126">
        <f t="shared" si="85"/>
        <v>11098.57</v>
      </c>
      <c r="K1258" s="94"/>
      <c r="M1258" s="95"/>
    </row>
    <row r="1259" spans="2:13" outlineLevel="1" x14ac:dyDescent="0.2">
      <c r="B1259" s="92" t="s">
        <v>1181</v>
      </c>
      <c r="C1259" s="341">
        <v>43187</v>
      </c>
      <c r="D1259" s="369">
        <v>43830</v>
      </c>
      <c r="E1259" s="378">
        <v>50</v>
      </c>
      <c r="F1259" s="304"/>
      <c r="G1259" s="252">
        <v>11304.01</v>
      </c>
      <c r="H1259" s="253"/>
      <c r="I1259" s="126">
        <f t="shared" si="84"/>
        <v>11304.01</v>
      </c>
      <c r="J1259" s="126">
        <f t="shared" si="85"/>
        <v>11304.01</v>
      </c>
      <c r="K1259" s="94"/>
      <c r="M1259" s="95"/>
    </row>
    <row r="1260" spans="2:13" ht="22.5" outlineLevel="1" x14ac:dyDescent="0.2">
      <c r="B1260" s="92" t="s">
        <v>1182</v>
      </c>
      <c r="C1260" s="341">
        <v>43253</v>
      </c>
      <c r="D1260" s="369">
        <v>43830</v>
      </c>
      <c r="E1260" s="378">
        <v>50</v>
      </c>
      <c r="F1260" s="304"/>
      <c r="G1260" s="252">
        <v>11309.8</v>
      </c>
      <c r="H1260" s="253"/>
      <c r="I1260" s="126">
        <f t="shared" si="84"/>
        <v>11309.8</v>
      </c>
      <c r="J1260" s="126">
        <f t="shared" si="85"/>
        <v>11309.8</v>
      </c>
      <c r="K1260" s="94"/>
      <c r="M1260" s="95"/>
    </row>
    <row r="1261" spans="2:13" outlineLevel="1" x14ac:dyDescent="0.2">
      <c r="B1261" s="92" t="s">
        <v>1183</v>
      </c>
      <c r="C1261" s="341">
        <v>43270</v>
      </c>
      <c r="D1261" s="369">
        <v>43830</v>
      </c>
      <c r="E1261" s="378">
        <v>50</v>
      </c>
      <c r="F1261" s="254">
        <v>41573.15</v>
      </c>
      <c r="G1261" s="252">
        <v>6674</v>
      </c>
      <c r="H1261" s="253"/>
      <c r="I1261" s="126">
        <f t="shared" si="84"/>
        <v>48247.15</v>
      </c>
      <c r="J1261" s="126">
        <f t="shared" si="85"/>
        <v>48247.15</v>
      </c>
      <c r="K1261" s="94"/>
      <c r="M1261" s="95"/>
    </row>
    <row r="1262" spans="2:13" outlineLevel="1" x14ac:dyDescent="0.2">
      <c r="B1262" s="92" t="s">
        <v>1184</v>
      </c>
      <c r="C1262" s="375" t="s">
        <v>1482</v>
      </c>
      <c r="D1262" s="369">
        <v>43830</v>
      </c>
      <c r="E1262" s="378">
        <v>50</v>
      </c>
      <c r="F1262" s="304"/>
      <c r="G1262" s="252">
        <v>6674</v>
      </c>
      <c r="H1262" s="253"/>
      <c r="I1262" s="126">
        <f t="shared" si="84"/>
        <v>6674</v>
      </c>
      <c r="J1262" s="126">
        <f t="shared" si="85"/>
        <v>6674</v>
      </c>
      <c r="K1262" s="94"/>
      <c r="M1262" s="95"/>
    </row>
    <row r="1263" spans="2:13" outlineLevel="1" x14ac:dyDescent="0.2">
      <c r="B1263" s="92" t="s">
        <v>1185</v>
      </c>
      <c r="C1263" s="341">
        <v>43259</v>
      </c>
      <c r="D1263" s="369">
        <v>43830</v>
      </c>
      <c r="E1263" s="378">
        <v>50</v>
      </c>
      <c r="F1263" s="254">
        <v>28337.56</v>
      </c>
      <c r="G1263" s="252">
        <v>6674</v>
      </c>
      <c r="H1263" s="253"/>
      <c r="I1263" s="126">
        <f t="shared" si="84"/>
        <v>35011.56</v>
      </c>
      <c r="J1263" s="126">
        <f t="shared" si="85"/>
        <v>35011.56</v>
      </c>
      <c r="K1263" s="94"/>
      <c r="M1263" s="95"/>
    </row>
    <row r="1264" spans="2:13" outlineLevel="1" x14ac:dyDescent="0.2">
      <c r="B1264" s="92" t="s">
        <v>1186</v>
      </c>
      <c r="C1264" s="341">
        <v>43259</v>
      </c>
      <c r="D1264" s="369">
        <v>43830</v>
      </c>
      <c r="E1264" s="378">
        <v>50</v>
      </c>
      <c r="F1264" s="304"/>
      <c r="G1264" s="252">
        <v>6674</v>
      </c>
      <c r="H1264" s="253"/>
      <c r="I1264" s="126">
        <f t="shared" si="84"/>
        <v>6674</v>
      </c>
      <c r="J1264" s="126">
        <f t="shared" si="85"/>
        <v>6674</v>
      </c>
      <c r="K1264" s="94"/>
      <c r="M1264" s="95"/>
    </row>
    <row r="1265" spans="2:13" outlineLevel="1" x14ac:dyDescent="0.2">
      <c r="B1265" s="92" t="s">
        <v>1187</v>
      </c>
      <c r="C1265" s="375" t="s">
        <v>1482</v>
      </c>
      <c r="D1265" s="369">
        <v>43830</v>
      </c>
      <c r="E1265" s="378">
        <v>50</v>
      </c>
      <c r="F1265" s="254">
        <v>25286.79</v>
      </c>
      <c r="G1265" s="252">
        <v>6674</v>
      </c>
      <c r="H1265" s="253"/>
      <c r="I1265" s="126">
        <f t="shared" si="84"/>
        <v>31960.79</v>
      </c>
      <c r="J1265" s="126">
        <f t="shared" si="85"/>
        <v>31960.79</v>
      </c>
      <c r="K1265" s="94"/>
      <c r="M1265" s="95"/>
    </row>
    <row r="1266" spans="2:13" ht="22.5" outlineLevel="1" x14ac:dyDescent="0.2">
      <c r="B1266" s="92" t="s">
        <v>1188</v>
      </c>
      <c r="C1266" s="341">
        <v>43284</v>
      </c>
      <c r="D1266" s="369">
        <v>43830</v>
      </c>
      <c r="E1266" s="378">
        <v>50</v>
      </c>
      <c r="F1266" s="254">
        <v>26708.04</v>
      </c>
      <c r="G1266" s="252">
        <v>10882.44</v>
      </c>
      <c r="H1266" s="253"/>
      <c r="I1266" s="126">
        <f t="shared" si="84"/>
        <v>37590.480000000003</v>
      </c>
      <c r="J1266" s="126">
        <f t="shared" si="85"/>
        <v>37590.480000000003</v>
      </c>
      <c r="K1266" s="94"/>
      <c r="M1266" s="95"/>
    </row>
    <row r="1267" spans="2:13" ht="22.5" outlineLevel="1" x14ac:dyDescent="0.2">
      <c r="B1267" s="92" t="s">
        <v>1189</v>
      </c>
      <c r="C1267" s="341">
        <v>43287</v>
      </c>
      <c r="D1267" s="369">
        <v>43830</v>
      </c>
      <c r="E1267" s="378">
        <v>50</v>
      </c>
      <c r="F1267" s="254">
        <v>1242.69</v>
      </c>
      <c r="G1267" s="252">
        <v>11496.15</v>
      </c>
      <c r="H1267" s="253"/>
      <c r="I1267" s="126">
        <f t="shared" si="84"/>
        <v>12738.84</v>
      </c>
      <c r="J1267" s="126">
        <f t="shared" si="85"/>
        <v>12738.84</v>
      </c>
      <c r="K1267" s="94"/>
      <c r="M1267" s="95"/>
    </row>
    <row r="1268" spans="2:13" outlineLevel="1" x14ac:dyDescent="0.2">
      <c r="B1268" s="92" t="s">
        <v>1190</v>
      </c>
      <c r="C1268" s="341">
        <v>43291</v>
      </c>
      <c r="D1268" s="369">
        <v>43830</v>
      </c>
      <c r="E1268" s="378">
        <v>50</v>
      </c>
      <c r="F1268" s="304"/>
      <c r="G1268" s="252">
        <v>11496.15</v>
      </c>
      <c r="H1268" s="253"/>
      <c r="I1268" s="126">
        <f t="shared" si="84"/>
        <v>11496.15</v>
      </c>
      <c r="J1268" s="126">
        <f t="shared" si="85"/>
        <v>11496.15</v>
      </c>
      <c r="K1268" s="94"/>
      <c r="M1268" s="95"/>
    </row>
    <row r="1269" spans="2:13" outlineLevel="1" x14ac:dyDescent="0.2">
      <c r="B1269" s="92" t="s">
        <v>1191</v>
      </c>
      <c r="C1269" s="341">
        <v>43227</v>
      </c>
      <c r="D1269" s="369">
        <v>43830</v>
      </c>
      <c r="E1269" s="378">
        <v>80</v>
      </c>
      <c r="F1269" s="257">
        <v>143614</v>
      </c>
      <c r="G1269" s="252">
        <v>23224.62</v>
      </c>
      <c r="H1269" s="253"/>
      <c r="I1269" s="126">
        <f t="shared" si="84"/>
        <v>166838.62</v>
      </c>
      <c r="J1269" s="126">
        <f t="shared" si="85"/>
        <v>166838.62</v>
      </c>
      <c r="K1269" s="94"/>
      <c r="M1269" s="95"/>
    </row>
    <row r="1270" spans="2:13" outlineLevel="1" x14ac:dyDescent="0.2">
      <c r="B1270" s="92" t="s">
        <v>1192</v>
      </c>
      <c r="C1270" s="341">
        <v>43304</v>
      </c>
      <c r="D1270" s="369">
        <v>43830</v>
      </c>
      <c r="E1270" s="378">
        <v>50</v>
      </c>
      <c r="F1270" s="304"/>
      <c r="G1270" s="252">
        <v>11496.15</v>
      </c>
      <c r="H1270" s="253"/>
      <c r="I1270" s="126">
        <f t="shared" si="84"/>
        <v>11496.15</v>
      </c>
      <c r="J1270" s="126">
        <f t="shared" si="85"/>
        <v>11496.15</v>
      </c>
      <c r="K1270" s="94"/>
      <c r="M1270" s="95"/>
    </row>
    <row r="1271" spans="2:13" ht="22.5" outlineLevel="1" x14ac:dyDescent="0.2">
      <c r="B1271" s="92" t="s">
        <v>1193</v>
      </c>
      <c r="C1271" s="341">
        <v>43301</v>
      </c>
      <c r="D1271" s="369">
        <v>43830</v>
      </c>
      <c r="E1271" s="378">
        <v>50</v>
      </c>
      <c r="F1271" s="304"/>
      <c r="G1271" s="252">
        <v>11258.07</v>
      </c>
      <c r="H1271" s="253"/>
      <c r="I1271" s="126">
        <f t="shared" si="84"/>
        <v>11258.07</v>
      </c>
      <c r="J1271" s="126">
        <f t="shared" si="85"/>
        <v>11258.07</v>
      </c>
      <c r="K1271" s="94"/>
      <c r="M1271" s="95"/>
    </row>
    <row r="1272" spans="2:13" outlineLevel="1" x14ac:dyDescent="0.2">
      <c r="B1272" s="92" t="s">
        <v>1194</v>
      </c>
      <c r="C1272" s="341">
        <v>43201</v>
      </c>
      <c r="D1272" s="369">
        <v>43830</v>
      </c>
      <c r="E1272" s="378">
        <v>50</v>
      </c>
      <c r="F1272" s="254">
        <v>86169.34</v>
      </c>
      <c r="G1272" s="252">
        <v>11258.07</v>
      </c>
      <c r="H1272" s="253"/>
      <c r="I1272" s="126">
        <f t="shared" si="84"/>
        <v>97427.41</v>
      </c>
      <c r="J1272" s="126">
        <f t="shared" si="85"/>
        <v>97427.41</v>
      </c>
      <c r="K1272" s="94"/>
      <c r="M1272" s="95"/>
    </row>
    <row r="1273" spans="2:13" outlineLevel="1" x14ac:dyDescent="0.2">
      <c r="B1273" s="92" t="s">
        <v>1195</v>
      </c>
      <c r="C1273" s="341">
        <v>43326</v>
      </c>
      <c r="D1273" s="369">
        <v>43830</v>
      </c>
      <c r="E1273" s="378">
        <v>50</v>
      </c>
      <c r="F1273" s="254">
        <v>1513.01</v>
      </c>
      <c r="G1273" s="252">
        <v>8541.01</v>
      </c>
      <c r="H1273" s="253"/>
      <c r="I1273" s="126">
        <f t="shared" si="84"/>
        <v>10054.02</v>
      </c>
      <c r="J1273" s="126">
        <f t="shared" si="85"/>
        <v>10054.02</v>
      </c>
      <c r="K1273" s="94"/>
      <c r="M1273" s="95"/>
    </row>
    <row r="1274" spans="2:13" outlineLevel="1" x14ac:dyDescent="0.2">
      <c r="B1274" s="92" t="s">
        <v>1196</v>
      </c>
      <c r="C1274" s="341">
        <v>43287</v>
      </c>
      <c r="D1274" s="369">
        <v>43830</v>
      </c>
      <c r="E1274" s="378">
        <v>50</v>
      </c>
      <c r="F1274" s="304"/>
      <c r="G1274" s="252">
        <v>11258.07</v>
      </c>
      <c r="H1274" s="253"/>
      <c r="I1274" s="126">
        <f t="shared" si="84"/>
        <v>11258.07</v>
      </c>
      <c r="J1274" s="126">
        <f t="shared" si="85"/>
        <v>11258.07</v>
      </c>
      <c r="K1274" s="94"/>
      <c r="M1274" s="95"/>
    </row>
    <row r="1275" spans="2:13" outlineLevel="1" x14ac:dyDescent="0.2">
      <c r="B1275" s="92" t="s">
        <v>1197</v>
      </c>
      <c r="C1275" s="341">
        <v>43290</v>
      </c>
      <c r="D1275" s="369">
        <v>43830</v>
      </c>
      <c r="E1275" s="378">
        <v>50</v>
      </c>
      <c r="F1275" s="254">
        <v>36915.019999999997</v>
      </c>
      <c r="G1275" s="252">
        <v>14078.51</v>
      </c>
      <c r="H1275" s="253"/>
      <c r="I1275" s="126">
        <f t="shared" si="84"/>
        <v>50993.53</v>
      </c>
      <c r="J1275" s="126">
        <f t="shared" si="85"/>
        <v>50993.53</v>
      </c>
      <c r="K1275" s="94"/>
      <c r="M1275" s="95"/>
    </row>
    <row r="1276" spans="2:13" outlineLevel="1" x14ac:dyDescent="0.2">
      <c r="B1276" s="92" t="s">
        <v>1198</v>
      </c>
      <c r="C1276" s="341">
        <v>43311</v>
      </c>
      <c r="D1276" s="369">
        <v>43830</v>
      </c>
      <c r="E1276" s="378">
        <v>50</v>
      </c>
      <c r="F1276" s="254">
        <v>23394.33</v>
      </c>
      <c r="G1276" s="252">
        <v>11258.07</v>
      </c>
      <c r="H1276" s="253"/>
      <c r="I1276" s="126">
        <f t="shared" si="84"/>
        <v>34652.400000000001</v>
      </c>
      <c r="J1276" s="126">
        <f t="shared" si="85"/>
        <v>34652.400000000001</v>
      </c>
      <c r="K1276" s="94"/>
      <c r="M1276" s="95"/>
    </row>
    <row r="1277" spans="2:13" outlineLevel="1" x14ac:dyDescent="0.2">
      <c r="B1277" s="92" t="s">
        <v>1199</v>
      </c>
      <c r="C1277" s="341">
        <v>43259</v>
      </c>
      <c r="D1277" s="369">
        <v>43830</v>
      </c>
      <c r="E1277" s="378">
        <v>50</v>
      </c>
      <c r="F1277" s="256">
        <v>932.01</v>
      </c>
      <c r="G1277" s="252">
        <v>5105.26</v>
      </c>
      <c r="H1277" s="253"/>
      <c r="I1277" s="126">
        <f t="shared" si="84"/>
        <v>6037.27</v>
      </c>
      <c r="J1277" s="126">
        <f t="shared" si="85"/>
        <v>6037.27</v>
      </c>
      <c r="K1277" s="94"/>
      <c r="M1277" s="95"/>
    </row>
    <row r="1278" spans="2:13" outlineLevel="1" x14ac:dyDescent="0.2">
      <c r="B1278" s="92" t="s">
        <v>1200</v>
      </c>
      <c r="C1278" s="341">
        <v>43076</v>
      </c>
      <c r="D1278" s="369">
        <v>43830</v>
      </c>
      <c r="E1278" s="378">
        <v>50</v>
      </c>
      <c r="F1278" s="254">
        <v>17788.169999999998</v>
      </c>
      <c r="G1278" s="252">
        <v>9876.0400000000009</v>
      </c>
      <c r="H1278" s="253"/>
      <c r="I1278" s="126">
        <f t="shared" si="84"/>
        <v>27664.21</v>
      </c>
      <c r="J1278" s="126">
        <f t="shared" si="85"/>
        <v>27664.21</v>
      </c>
      <c r="K1278" s="94"/>
      <c r="M1278" s="95"/>
    </row>
    <row r="1279" spans="2:13" outlineLevel="1" x14ac:dyDescent="0.2">
      <c r="B1279" s="92" t="s">
        <v>1201</v>
      </c>
      <c r="C1279" s="341">
        <v>43328</v>
      </c>
      <c r="D1279" s="369">
        <v>43830</v>
      </c>
      <c r="E1279" s="378">
        <v>50</v>
      </c>
      <c r="F1279" s="304"/>
      <c r="G1279" s="252">
        <v>8556.57</v>
      </c>
      <c r="H1279" s="253"/>
      <c r="I1279" s="126">
        <f t="shared" si="84"/>
        <v>8556.57</v>
      </c>
      <c r="J1279" s="126">
        <f t="shared" si="85"/>
        <v>8556.57</v>
      </c>
      <c r="K1279" s="94"/>
      <c r="M1279" s="95"/>
    </row>
    <row r="1280" spans="2:13" outlineLevel="1" x14ac:dyDescent="0.2">
      <c r="B1280" s="92" t="s">
        <v>1202</v>
      </c>
      <c r="C1280" s="341">
        <v>43300</v>
      </c>
      <c r="D1280" s="369">
        <v>43830</v>
      </c>
      <c r="E1280" s="378">
        <v>50</v>
      </c>
      <c r="F1280" s="304"/>
      <c r="G1280" s="252">
        <v>5105.26</v>
      </c>
      <c r="H1280" s="253"/>
      <c r="I1280" s="126">
        <f t="shared" si="84"/>
        <v>5105.26</v>
      </c>
      <c r="J1280" s="126">
        <f t="shared" si="85"/>
        <v>5105.26</v>
      </c>
      <c r="K1280" s="94"/>
      <c r="M1280" s="95"/>
    </row>
    <row r="1281" spans="2:13" outlineLevel="1" x14ac:dyDescent="0.2">
      <c r="B1281" s="92" t="s">
        <v>1203</v>
      </c>
      <c r="C1281" s="341">
        <v>43311</v>
      </c>
      <c r="D1281" s="369">
        <v>43830</v>
      </c>
      <c r="E1281" s="378">
        <v>50</v>
      </c>
      <c r="F1281" s="254">
        <v>24995.77</v>
      </c>
      <c r="G1281" s="252">
        <v>11258.07</v>
      </c>
      <c r="H1281" s="253"/>
      <c r="I1281" s="126">
        <f t="shared" si="84"/>
        <v>36253.839999999997</v>
      </c>
      <c r="J1281" s="126">
        <f t="shared" si="85"/>
        <v>36253.839999999997</v>
      </c>
      <c r="K1281" s="94"/>
      <c r="M1281" s="95"/>
    </row>
    <row r="1282" spans="2:13" outlineLevel="1" x14ac:dyDescent="0.2">
      <c r="B1282" s="92" t="s">
        <v>1204</v>
      </c>
      <c r="C1282" s="375" t="s">
        <v>1482</v>
      </c>
      <c r="D1282" s="369">
        <v>43830</v>
      </c>
      <c r="E1282" s="378">
        <v>50</v>
      </c>
      <c r="F1282" s="255">
        <v>27990.7</v>
      </c>
      <c r="G1282" s="252">
        <v>9795.56</v>
      </c>
      <c r="H1282" s="253"/>
      <c r="I1282" s="126">
        <f t="shared" si="84"/>
        <v>37786.26</v>
      </c>
      <c r="J1282" s="126">
        <f t="shared" si="85"/>
        <v>37786.26</v>
      </c>
      <c r="K1282" s="94"/>
      <c r="M1282" s="95"/>
    </row>
    <row r="1283" spans="2:13" outlineLevel="1" x14ac:dyDescent="0.2">
      <c r="B1283" s="92" t="s">
        <v>1205</v>
      </c>
      <c r="C1283" s="375" t="s">
        <v>1482</v>
      </c>
      <c r="D1283" s="369">
        <v>43830</v>
      </c>
      <c r="E1283" s="378">
        <v>60</v>
      </c>
      <c r="F1283" s="254">
        <v>26149.96</v>
      </c>
      <c r="G1283" s="252">
        <v>9593.25</v>
      </c>
      <c r="H1283" s="253"/>
      <c r="I1283" s="126">
        <f t="shared" si="84"/>
        <v>35743.21</v>
      </c>
      <c r="J1283" s="126">
        <f t="shared" si="85"/>
        <v>35743.21</v>
      </c>
      <c r="K1283" s="94"/>
      <c r="M1283" s="95"/>
    </row>
    <row r="1284" spans="2:13" ht="22.5" outlineLevel="1" x14ac:dyDescent="0.2">
      <c r="B1284" s="92" t="s">
        <v>1206</v>
      </c>
      <c r="C1284" s="341">
        <v>43320</v>
      </c>
      <c r="D1284" s="369">
        <v>43830</v>
      </c>
      <c r="E1284" s="378">
        <v>50</v>
      </c>
      <c r="F1284" s="254">
        <v>2785.26</v>
      </c>
      <c r="G1284" s="252">
        <v>10654.04</v>
      </c>
      <c r="H1284" s="253"/>
      <c r="I1284" s="126">
        <f t="shared" si="84"/>
        <v>13439.300000000001</v>
      </c>
      <c r="J1284" s="126">
        <f t="shared" si="85"/>
        <v>13439.300000000001</v>
      </c>
      <c r="K1284" s="94"/>
      <c r="M1284" s="95"/>
    </row>
    <row r="1285" spans="2:13" ht="22.5" outlineLevel="1" x14ac:dyDescent="0.2">
      <c r="B1285" s="92" t="s">
        <v>1207</v>
      </c>
      <c r="C1285" s="341">
        <v>43320</v>
      </c>
      <c r="D1285" s="369">
        <v>43830</v>
      </c>
      <c r="E1285" s="378">
        <v>70</v>
      </c>
      <c r="F1285" s="254">
        <v>33315.94</v>
      </c>
      <c r="G1285" s="252">
        <v>10612.66</v>
      </c>
      <c r="H1285" s="253"/>
      <c r="I1285" s="126">
        <f t="shared" si="84"/>
        <v>43928.600000000006</v>
      </c>
      <c r="J1285" s="126">
        <f t="shared" si="85"/>
        <v>43928.600000000006</v>
      </c>
      <c r="K1285" s="94"/>
      <c r="M1285" s="95"/>
    </row>
    <row r="1286" spans="2:13" outlineLevel="1" x14ac:dyDescent="0.2">
      <c r="B1286" s="92" t="s">
        <v>1208</v>
      </c>
      <c r="C1286" s="341">
        <v>43259</v>
      </c>
      <c r="D1286" s="369">
        <v>43830</v>
      </c>
      <c r="E1286" s="378">
        <v>70</v>
      </c>
      <c r="F1286" s="254">
        <v>33180.07</v>
      </c>
      <c r="G1286" s="252">
        <v>11207.8</v>
      </c>
      <c r="H1286" s="253"/>
      <c r="I1286" s="126">
        <f t="shared" si="84"/>
        <v>44387.869999999995</v>
      </c>
      <c r="J1286" s="126">
        <f t="shared" si="85"/>
        <v>44387.869999999995</v>
      </c>
      <c r="K1286" s="94"/>
      <c r="M1286" s="95"/>
    </row>
    <row r="1287" spans="2:13" outlineLevel="1" x14ac:dyDescent="0.2">
      <c r="B1287" s="92" t="s">
        <v>1209</v>
      </c>
      <c r="C1287" s="341">
        <v>42972</v>
      </c>
      <c r="D1287" s="369">
        <v>43830</v>
      </c>
      <c r="E1287" s="378">
        <v>50</v>
      </c>
      <c r="F1287" s="254">
        <v>27909.42</v>
      </c>
      <c r="G1287" s="252">
        <v>11156.07</v>
      </c>
      <c r="H1287" s="253"/>
      <c r="I1287" s="126">
        <f t="shared" si="84"/>
        <v>39065.49</v>
      </c>
      <c r="J1287" s="126">
        <f t="shared" si="85"/>
        <v>39065.49</v>
      </c>
      <c r="K1287" s="94"/>
      <c r="M1287" s="95"/>
    </row>
    <row r="1288" spans="2:13" outlineLevel="1" x14ac:dyDescent="0.2">
      <c r="B1288" s="92" t="s">
        <v>1210</v>
      </c>
      <c r="C1288" s="341">
        <v>43291</v>
      </c>
      <c r="D1288" s="369">
        <v>43830</v>
      </c>
      <c r="E1288" s="378">
        <v>50</v>
      </c>
      <c r="F1288" s="254">
        <v>43327.23</v>
      </c>
      <c r="G1288" s="252">
        <v>7744.84</v>
      </c>
      <c r="H1288" s="253"/>
      <c r="I1288" s="126">
        <f t="shared" si="84"/>
        <v>51072.070000000007</v>
      </c>
      <c r="J1288" s="126">
        <f t="shared" si="85"/>
        <v>51072.070000000007</v>
      </c>
      <c r="K1288" s="94"/>
      <c r="M1288" s="95"/>
    </row>
    <row r="1289" spans="2:13" ht="22.5" outlineLevel="1" x14ac:dyDescent="0.2">
      <c r="B1289" s="92" t="s">
        <v>1211</v>
      </c>
      <c r="C1289" s="341">
        <v>43300</v>
      </c>
      <c r="D1289" s="369">
        <v>43830</v>
      </c>
      <c r="E1289" s="378">
        <v>50</v>
      </c>
      <c r="F1289" s="254">
        <v>45996.959999999999</v>
      </c>
      <c r="G1289" s="252">
        <v>11156.07</v>
      </c>
      <c r="H1289" s="253"/>
      <c r="I1289" s="126">
        <f t="shared" si="84"/>
        <v>57153.03</v>
      </c>
      <c r="J1289" s="126">
        <f t="shared" si="85"/>
        <v>57153.03</v>
      </c>
      <c r="K1289" s="94"/>
      <c r="M1289" s="95"/>
    </row>
    <row r="1290" spans="2:13" outlineLevel="1" x14ac:dyDescent="0.2">
      <c r="B1290" s="92" t="s">
        <v>1212</v>
      </c>
      <c r="C1290" s="341">
        <v>43304</v>
      </c>
      <c r="D1290" s="369">
        <v>43830</v>
      </c>
      <c r="E1290" s="378">
        <v>50</v>
      </c>
      <c r="F1290" s="254">
        <v>58308.22</v>
      </c>
      <c r="G1290" s="252">
        <v>11156.07</v>
      </c>
      <c r="H1290" s="253"/>
      <c r="I1290" s="126">
        <f t="shared" si="84"/>
        <v>69464.290000000008</v>
      </c>
      <c r="J1290" s="126">
        <f t="shared" si="85"/>
        <v>69464.290000000008</v>
      </c>
      <c r="K1290" s="94"/>
      <c r="M1290" s="95"/>
    </row>
    <row r="1291" spans="2:13" ht="22.5" outlineLevel="1" x14ac:dyDescent="0.2">
      <c r="B1291" s="92" t="s">
        <v>1213</v>
      </c>
      <c r="C1291" s="341">
        <v>43251</v>
      </c>
      <c r="D1291" s="369">
        <v>43830</v>
      </c>
      <c r="E1291" s="378">
        <v>50</v>
      </c>
      <c r="F1291" s="304"/>
      <c r="G1291" s="252">
        <v>4966.41</v>
      </c>
      <c r="H1291" s="253"/>
      <c r="I1291" s="126">
        <f t="shared" si="84"/>
        <v>4966.41</v>
      </c>
      <c r="J1291" s="126">
        <f t="shared" si="85"/>
        <v>4966.41</v>
      </c>
      <c r="K1291" s="94"/>
      <c r="M1291" s="95"/>
    </row>
    <row r="1292" spans="2:13" outlineLevel="1" x14ac:dyDescent="0.2">
      <c r="B1292" s="92" t="s">
        <v>1214</v>
      </c>
      <c r="C1292" s="375" t="s">
        <v>1215</v>
      </c>
      <c r="D1292" s="369">
        <v>43830</v>
      </c>
      <c r="E1292" s="378">
        <v>35</v>
      </c>
      <c r="F1292" s="256">
        <v>859.29</v>
      </c>
      <c r="G1292" s="252">
        <v>7013.03</v>
      </c>
      <c r="H1292" s="253"/>
      <c r="I1292" s="126">
        <f t="shared" si="84"/>
        <v>7872.32</v>
      </c>
      <c r="J1292" s="126">
        <f t="shared" si="85"/>
        <v>7872.32</v>
      </c>
      <c r="K1292" s="94"/>
      <c r="M1292" s="95"/>
    </row>
    <row r="1293" spans="2:13" outlineLevel="1" x14ac:dyDescent="0.2">
      <c r="B1293" s="92" t="s">
        <v>1216</v>
      </c>
      <c r="C1293" s="379" t="s">
        <v>1217</v>
      </c>
      <c r="D1293" s="369">
        <v>43830</v>
      </c>
      <c r="E1293" s="378">
        <v>60</v>
      </c>
      <c r="F1293" s="257">
        <v>44955</v>
      </c>
      <c r="G1293" s="252">
        <v>11615.42</v>
      </c>
      <c r="H1293" s="253"/>
      <c r="I1293" s="126">
        <f t="shared" si="84"/>
        <v>56570.42</v>
      </c>
      <c r="J1293" s="126">
        <f t="shared" si="85"/>
        <v>56570.42</v>
      </c>
      <c r="K1293" s="94"/>
      <c r="M1293" s="95"/>
    </row>
    <row r="1294" spans="2:13" outlineLevel="1" x14ac:dyDescent="0.2">
      <c r="B1294" s="92" t="s">
        <v>1218</v>
      </c>
      <c r="C1294" s="379" t="s">
        <v>1219</v>
      </c>
      <c r="D1294" s="369">
        <v>43830</v>
      </c>
      <c r="E1294" s="378">
        <v>30</v>
      </c>
      <c r="F1294" s="304"/>
      <c r="G1294" s="252">
        <v>11188.45</v>
      </c>
      <c r="H1294" s="253"/>
      <c r="I1294" s="126">
        <f t="shared" si="84"/>
        <v>11188.45</v>
      </c>
      <c r="J1294" s="126">
        <f t="shared" si="85"/>
        <v>11188.45</v>
      </c>
      <c r="K1294" s="94"/>
      <c r="M1294" s="95"/>
    </row>
    <row r="1295" spans="2:13" ht="22.5" outlineLevel="1" x14ac:dyDescent="0.2">
      <c r="B1295" s="92" t="s">
        <v>1220</v>
      </c>
      <c r="C1295" s="379" t="s">
        <v>1221</v>
      </c>
      <c r="D1295" s="369">
        <v>43830</v>
      </c>
      <c r="E1295" s="378">
        <v>30</v>
      </c>
      <c r="F1295" s="304"/>
      <c r="G1295" s="252">
        <v>17146.27</v>
      </c>
      <c r="H1295" s="253"/>
      <c r="I1295" s="126">
        <f t="shared" si="84"/>
        <v>17146.27</v>
      </c>
      <c r="J1295" s="126">
        <f t="shared" si="85"/>
        <v>17146.27</v>
      </c>
      <c r="K1295" s="94"/>
      <c r="M1295" s="95"/>
    </row>
    <row r="1296" spans="2:13" ht="22.5" outlineLevel="1" x14ac:dyDescent="0.2">
      <c r="B1296" s="92" t="s">
        <v>1222</v>
      </c>
      <c r="C1296" s="379" t="s">
        <v>1223</v>
      </c>
      <c r="D1296" s="369">
        <v>43830</v>
      </c>
      <c r="E1296" s="378">
        <v>30</v>
      </c>
      <c r="F1296" s="304"/>
      <c r="G1296" s="252">
        <v>20422.16</v>
      </c>
      <c r="H1296" s="253"/>
      <c r="I1296" s="126">
        <f t="shared" si="84"/>
        <v>20422.16</v>
      </c>
      <c r="J1296" s="126">
        <f t="shared" si="85"/>
        <v>20422.16</v>
      </c>
      <c r="K1296" s="94"/>
      <c r="M1296" s="95"/>
    </row>
    <row r="1297" spans="2:13" outlineLevel="1" x14ac:dyDescent="0.2">
      <c r="B1297" s="92" t="s">
        <v>1224</v>
      </c>
      <c r="C1297" s="379" t="s">
        <v>1225</v>
      </c>
      <c r="D1297" s="369">
        <v>43830</v>
      </c>
      <c r="E1297" s="378">
        <v>65</v>
      </c>
      <c r="F1297" s="254">
        <v>65775.77</v>
      </c>
      <c r="G1297" s="252">
        <v>10831.63</v>
      </c>
      <c r="H1297" s="253"/>
      <c r="I1297" s="126">
        <f t="shared" si="84"/>
        <v>76607.400000000009</v>
      </c>
      <c r="J1297" s="126">
        <f t="shared" si="85"/>
        <v>76607.400000000009</v>
      </c>
      <c r="K1297" s="94"/>
      <c r="M1297" s="95"/>
    </row>
    <row r="1298" spans="2:13" outlineLevel="1" x14ac:dyDescent="0.2">
      <c r="B1298" s="92" t="s">
        <v>1226</v>
      </c>
      <c r="C1298" s="379" t="s">
        <v>1227</v>
      </c>
      <c r="D1298" s="369">
        <v>43830</v>
      </c>
      <c r="E1298" s="378">
        <v>65</v>
      </c>
      <c r="F1298" s="254">
        <v>32357.53</v>
      </c>
      <c r="G1298" s="252">
        <v>7373.47</v>
      </c>
      <c r="H1298" s="253"/>
      <c r="I1298" s="126">
        <f t="shared" si="84"/>
        <v>39731</v>
      </c>
      <c r="J1298" s="126">
        <f t="shared" si="85"/>
        <v>39731</v>
      </c>
      <c r="K1298" s="94"/>
      <c r="M1298" s="95"/>
    </row>
    <row r="1299" spans="2:13" outlineLevel="1" x14ac:dyDescent="0.2">
      <c r="B1299" s="92" t="s">
        <v>1228</v>
      </c>
      <c r="C1299" s="379" t="s">
        <v>1229</v>
      </c>
      <c r="D1299" s="369">
        <v>43830</v>
      </c>
      <c r="E1299" s="378">
        <v>65</v>
      </c>
      <c r="F1299" s="255">
        <v>39886.5</v>
      </c>
      <c r="G1299" s="252">
        <v>5158.4399999999996</v>
      </c>
      <c r="H1299" s="253"/>
      <c r="I1299" s="126">
        <f t="shared" si="84"/>
        <v>45044.94</v>
      </c>
      <c r="J1299" s="126">
        <f t="shared" si="85"/>
        <v>45044.94</v>
      </c>
      <c r="K1299" s="94"/>
      <c r="M1299" s="95"/>
    </row>
    <row r="1300" spans="2:13" outlineLevel="1" x14ac:dyDescent="0.2">
      <c r="B1300" s="92" t="s">
        <v>1230</v>
      </c>
      <c r="C1300" s="379" t="s">
        <v>1231</v>
      </c>
      <c r="D1300" s="369">
        <v>43830</v>
      </c>
      <c r="E1300" s="378">
        <v>32</v>
      </c>
      <c r="F1300" s="304"/>
      <c r="G1300" s="252">
        <v>11223.76</v>
      </c>
      <c r="H1300" s="253"/>
      <c r="I1300" s="126">
        <f t="shared" si="84"/>
        <v>11223.76</v>
      </c>
      <c r="J1300" s="126">
        <f t="shared" si="85"/>
        <v>11223.76</v>
      </c>
      <c r="K1300" s="94"/>
      <c r="M1300" s="95"/>
    </row>
    <row r="1301" spans="2:13" outlineLevel="1" x14ac:dyDescent="0.2">
      <c r="B1301" s="92" t="s">
        <v>1232</v>
      </c>
      <c r="C1301" s="379" t="s">
        <v>1233</v>
      </c>
      <c r="D1301" s="369">
        <v>43830</v>
      </c>
      <c r="E1301" s="378">
        <v>63</v>
      </c>
      <c r="F1301" s="254">
        <v>28514.12</v>
      </c>
      <c r="G1301" s="252">
        <v>11020.28</v>
      </c>
      <c r="H1301" s="253"/>
      <c r="I1301" s="126">
        <f t="shared" si="84"/>
        <v>39534.400000000001</v>
      </c>
      <c r="J1301" s="126">
        <f t="shared" si="85"/>
        <v>39534.400000000001</v>
      </c>
      <c r="K1301" s="94"/>
      <c r="M1301" s="95"/>
    </row>
    <row r="1302" spans="2:13" outlineLevel="1" x14ac:dyDescent="0.2">
      <c r="B1302" s="92" t="s">
        <v>1234</v>
      </c>
      <c r="C1302" s="379" t="s">
        <v>1225</v>
      </c>
      <c r="D1302" s="369">
        <v>43830</v>
      </c>
      <c r="E1302" s="378">
        <v>60</v>
      </c>
      <c r="F1302" s="254">
        <v>48792.22</v>
      </c>
      <c r="G1302" s="252">
        <v>11020.28</v>
      </c>
      <c r="H1302" s="253"/>
      <c r="I1302" s="126">
        <f t="shared" ref="I1302:I1365" si="86">F1302+G1302+H1302</f>
        <v>59812.5</v>
      </c>
      <c r="J1302" s="126">
        <f t="shared" ref="J1302:J1365" si="87">I1302</f>
        <v>59812.5</v>
      </c>
      <c r="K1302" s="94"/>
      <c r="M1302" s="95"/>
    </row>
    <row r="1303" spans="2:13" ht="22.5" outlineLevel="1" x14ac:dyDescent="0.2">
      <c r="B1303" s="92" t="s">
        <v>1235</v>
      </c>
      <c r="C1303" s="379" t="s">
        <v>1236</v>
      </c>
      <c r="D1303" s="369">
        <v>43830</v>
      </c>
      <c r="E1303" s="378">
        <v>60</v>
      </c>
      <c r="F1303" s="257">
        <v>46495</v>
      </c>
      <c r="G1303" s="252">
        <v>11020.28</v>
      </c>
      <c r="H1303" s="253"/>
      <c r="I1303" s="126">
        <f t="shared" si="86"/>
        <v>57515.28</v>
      </c>
      <c r="J1303" s="126">
        <f t="shared" si="87"/>
        <v>57515.28</v>
      </c>
      <c r="K1303" s="94"/>
      <c r="M1303" s="95"/>
    </row>
    <row r="1304" spans="2:13" ht="22.5" outlineLevel="1" x14ac:dyDescent="0.2">
      <c r="B1304" s="92" t="s">
        <v>1237</v>
      </c>
      <c r="C1304" s="379" t="s">
        <v>1238</v>
      </c>
      <c r="D1304" s="369">
        <v>43830</v>
      </c>
      <c r="E1304" s="378">
        <v>60</v>
      </c>
      <c r="F1304" s="254">
        <v>23849.97</v>
      </c>
      <c r="G1304" s="252">
        <v>11020.28</v>
      </c>
      <c r="H1304" s="253"/>
      <c r="I1304" s="126">
        <f t="shared" si="86"/>
        <v>34870.25</v>
      </c>
      <c r="J1304" s="126">
        <f t="shared" si="87"/>
        <v>34870.25</v>
      </c>
      <c r="K1304" s="94"/>
      <c r="M1304" s="95"/>
    </row>
    <row r="1305" spans="2:13" outlineLevel="1" x14ac:dyDescent="0.2">
      <c r="B1305" s="92" t="s">
        <v>1239</v>
      </c>
      <c r="C1305" s="379" t="s">
        <v>1240</v>
      </c>
      <c r="D1305" s="369">
        <v>43830</v>
      </c>
      <c r="E1305" s="378">
        <v>30</v>
      </c>
      <c r="F1305" s="304"/>
      <c r="G1305" s="252">
        <v>4257.78</v>
      </c>
      <c r="H1305" s="253"/>
      <c r="I1305" s="126">
        <f t="shared" si="86"/>
        <v>4257.78</v>
      </c>
      <c r="J1305" s="126">
        <f t="shared" si="87"/>
        <v>4257.78</v>
      </c>
      <c r="K1305" s="94"/>
      <c r="M1305" s="95"/>
    </row>
    <row r="1306" spans="2:13" outlineLevel="1" x14ac:dyDescent="0.2">
      <c r="B1306" s="92" t="s">
        <v>1241</v>
      </c>
      <c r="C1306" s="379" t="s">
        <v>1242</v>
      </c>
      <c r="D1306" s="369">
        <v>43830</v>
      </c>
      <c r="E1306" s="378">
        <v>60</v>
      </c>
      <c r="F1306" s="254">
        <v>30685.43</v>
      </c>
      <c r="G1306" s="252">
        <v>8912.39</v>
      </c>
      <c r="H1306" s="253"/>
      <c r="I1306" s="126">
        <f t="shared" si="86"/>
        <v>39597.82</v>
      </c>
      <c r="J1306" s="126">
        <f t="shared" si="87"/>
        <v>39597.82</v>
      </c>
      <c r="K1306" s="94"/>
      <c r="M1306" s="95"/>
    </row>
    <row r="1307" spans="2:13" ht="22.5" outlineLevel="1" x14ac:dyDescent="0.2">
      <c r="B1307" s="92" t="s">
        <v>1243</v>
      </c>
      <c r="C1307" s="379" t="s">
        <v>1244</v>
      </c>
      <c r="D1307" s="369">
        <v>43830</v>
      </c>
      <c r="E1307" s="378">
        <v>60</v>
      </c>
      <c r="F1307" s="254">
        <v>29140.89</v>
      </c>
      <c r="G1307" s="252">
        <v>11086.04</v>
      </c>
      <c r="H1307" s="253"/>
      <c r="I1307" s="126">
        <f t="shared" si="86"/>
        <v>40226.93</v>
      </c>
      <c r="J1307" s="126">
        <f t="shared" si="87"/>
        <v>40226.93</v>
      </c>
      <c r="K1307" s="94"/>
      <c r="M1307" s="95"/>
    </row>
    <row r="1308" spans="2:13" ht="22.5" outlineLevel="1" x14ac:dyDescent="0.2">
      <c r="B1308" s="92" t="s">
        <v>1245</v>
      </c>
      <c r="C1308" s="379" t="s">
        <v>1246</v>
      </c>
      <c r="D1308" s="369">
        <v>43830</v>
      </c>
      <c r="E1308" s="378">
        <v>60</v>
      </c>
      <c r="F1308" s="254">
        <v>25370.25</v>
      </c>
      <c r="G1308" s="252">
        <v>11086.04</v>
      </c>
      <c r="H1308" s="253"/>
      <c r="I1308" s="126">
        <f t="shared" si="86"/>
        <v>36456.29</v>
      </c>
      <c r="J1308" s="126">
        <f t="shared" si="87"/>
        <v>36456.29</v>
      </c>
      <c r="K1308" s="94"/>
      <c r="M1308" s="95"/>
    </row>
    <row r="1309" spans="2:13" outlineLevel="1" x14ac:dyDescent="0.2">
      <c r="B1309" s="92" t="s">
        <v>1247</v>
      </c>
      <c r="C1309" s="379" t="s">
        <v>1246</v>
      </c>
      <c r="D1309" s="369">
        <v>43830</v>
      </c>
      <c r="E1309" s="378">
        <v>30</v>
      </c>
      <c r="F1309" s="304"/>
      <c r="G1309" s="252">
        <v>11127.42</v>
      </c>
      <c r="H1309" s="253"/>
      <c r="I1309" s="126">
        <f t="shared" si="86"/>
        <v>11127.42</v>
      </c>
      <c r="J1309" s="126">
        <f t="shared" si="87"/>
        <v>11127.42</v>
      </c>
      <c r="K1309" s="94"/>
      <c r="M1309" s="95"/>
    </row>
    <row r="1310" spans="2:13" ht="22.5" outlineLevel="1" x14ac:dyDescent="0.2">
      <c r="B1310" s="92" t="s">
        <v>1248</v>
      </c>
      <c r="C1310" s="379" t="s">
        <v>1032</v>
      </c>
      <c r="D1310" s="369">
        <v>43830</v>
      </c>
      <c r="E1310" s="378">
        <v>30</v>
      </c>
      <c r="F1310" s="304"/>
      <c r="G1310" s="252">
        <v>22585.02</v>
      </c>
      <c r="H1310" s="253"/>
      <c r="I1310" s="126">
        <f t="shared" si="86"/>
        <v>22585.02</v>
      </c>
      <c r="J1310" s="126">
        <f t="shared" si="87"/>
        <v>22585.02</v>
      </c>
      <c r="K1310" s="94"/>
      <c r="M1310" s="95"/>
    </row>
    <row r="1311" spans="2:13" outlineLevel="1" x14ac:dyDescent="0.2">
      <c r="B1311" s="92" t="s">
        <v>1249</v>
      </c>
      <c r="C1311" s="379" t="s">
        <v>1250</v>
      </c>
      <c r="D1311" s="369">
        <v>43830</v>
      </c>
      <c r="E1311" s="378">
        <v>80</v>
      </c>
      <c r="F1311" s="257">
        <v>43571</v>
      </c>
      <c r="G1311" s="252">
        <v>11275.49</v>
      </c>
      <c r="H1311" s="253"/>
      <c r="I1311" s="126">
        <f t="shared" si="86"/>
        <v>54846.49</v>
      </c>
      <c r="J1311" s="126">
        <f t="shared" si="87"/>
        <v>54846.49</v>
      </c>
      <c r="K1311" s="94"/>
      <c r="M1311" s="95"/>
    </row>
    <row r="1312" spans="2:13" ht="22.5" outlineLevel="1" x14ac:dyDescent="0.2">
      <c r="B1312" s="92" t="s">
        <v>1251</v>
      </c>
      <c r="C1312" s="379" t="s">
        <v>1252</v>
      </c>
      <c r="D1312" s="369">
        <v>43830</v>
      </c>
      <c r="E1312" s="378">
        <v>60</v>
      </c>
      <c r="F1312" s="254">
        <v>98056.95</v>
      </c>
      <c r="G1312" s="252">
        <v>17456.64</v>
      </c>
      <c r="H1312" s="253"/>
      <c r="I1312" s="126">
        <f t="shared" si="86"/>
        <v>115513.59</v>
      </c>
      <c r="J1312" s="126">
        <f t="shared" si="87"/>
        <v>115513.59</v>
      </c>
      <c r="K1312" s="94"/>
      <c r="M1312" s="95"/>
    </row>
    <row r="1313" spans="2:13" ht="22.5" outlineLevel="1" x14ac:dyDescent="0.2">
      <c r="B1313" s="92" t="s">
        <v>1253</v>
      </c>
      <c r="C1313" s="379" t="s">
        <v>1254</v>
      </c>
      <c r="D1313" s="369">
        <v>43830</v>
      </c>
      <c r="E1313" s="378">
        <v>30</v>
      </c>
      <c r="F1313" s="304"/>
      <c r="G1313" s="252">
        <v>11223.76</v>
      </c>
      <c r="H1313" s="253"/>
      <c r="I1313" s="126">
        <f t="shared" si="86"/>
        <v>11223.76</v>
      </c>
      <c r="J1313" s="126">
        <f t="shared" si="87"/>
        <v>11223.76</v>
      </c>
      <c r="K1313" s="94"/>
      <c r="M1313" s="95"/>
    </row>
    <row r="1314" spans="2:13" ht="22.5" outlineLevel="1" x14ac:dyDescent="0.2">
      <c r="B1314" s="92" t="s">
        <v>1255</v>
      </c>
      <c r="C1314" s="379" t="s">
        <v>1236</v>
      </c>
      <c r="D1314" s="369">
        <v>43830</v>
      </c>
      <c r="E1314" s="378">
        <v>30</v>
      </c>
      <c r="F1314" s="304"/>
      <c r="G1314" s="252">
        <v>10876.45</v>
      </c>
      <c r="H1314" s="253"/>
      <c r="I1314" s="126">
        <f t="shared" si="86"/>
        <v>10876.45</v>
      </c>
      <c r="J1314" s="126">
        <f t="shared" si="87"/>
        <v>10876.45</v>
      </c>
      <c r="K1314" s="94"/>
      <c r="M1314" s="95"/>
    </row>
    <row r="1315" spans="2:13" ht="22.5" outlineLevel="1" x14ac:dyDescent="0.2">
      <c r="B1315" s="92" t="s">
        <v>1256</v>
      </c>
      <c r="C1315" s="379" t="s">
        <v>1257</v>
      </c>
      <c r="D1315" s="369">
        <v>43830</v>
      </c>
      <c r="E1315" s="378">
        <v>30</v>
      </c>
      <c r="F1315" s="304"/>
      <c r="G1315" s="252">
        <v>7074.54</v>
      </c>
      <c r="H1315" s="253"/>
      <c r="I1315" s="126">
        <f t="shared" si="86"/>
        <v>7074.54</v>
      </c>
      <c r="J1315" s="126">
        <f t="shared" si="87"/>
        <v>7074.54</v>
      </c>
      <c r="K1315" s="94"/>
      <c r="M1315" s="95"/>
    </row>
    <row r="1316" spans="2:13" ht="22.5" outlineLevel="1" x14ac:dyDescent="0.2">
      <c r="B1316" s="92" t="s">
        <v>1258</v>
      </c>
      <c r="C1316" s="379" t="s">
        <v>1244</v>
      </c>
      <c r="D1316" s="369">
        <v>43830</v>
      </c>
      <c r="E1316" s="378">
        <v>70</v>
      </c>
      <c r="F1316" s="254">
        <v>102295.16</v>
      </c>
      <c r="G1316" s="252">
        <v>14874.71</v>
      </c>
      <c r="H1316" s="253"/>
      <c r="I1316" s="126">
        <f t="shared" si="86"/>
        <v>117169.87</v>
      </c>
      <c r="J1316" s="126">
        <f t="shared" si="87"/>
        <v>117169.87</v>
      </c>
      <c r="K1316" s="94"/>
      <c r="M1316" s="95"/>
    </row>
    <row r="1317" spans="2:13" ht="22.5" outlineLevel="1" x14ac:dyDescent="0.2">
      <c r="B1317" s="92" t="s">
        <v>1259</v>
      </c>
      <c r="C1317" s="379" t="s">
        <v>1260</v>
      </c>
      <c r="D1317" s="369">
        <v>43830</v>
      </c>
      <c r="E1317" s="378">
        <v>30</v>
      </c>
      <c r="F1317" s="304"/>
      <c r="G1317" s="252">
        <v>11002.57</v>
      </c>
      <c r="H1317" s="253"/>
      <c r="I1317" s="126">
        <f t="shared" si="86"/>
        <v>11002.57</v>
      </c>
      <c r="J1317" s="126">
        <f t="shared" si="87"/>
        <v>11002.57</v>
      </c>
      <c r="K1317" s="94"/>
      <c r="M1317" s="95"/>
    </row>
    <row r="1318" spans="2:13" outlineLevel="1" x14ac:dyDescent="0.2">
      <c r="B1318" s="92" t="s">
        <v>1261</v>
      </c>
      <c r="C1318" s="379" t="s">
        <v>1262</v>
      </c>
      <c r="D1318" s="369">
        <v>43830</v>
      </c>
      <c r="E1318" s="378">
        <v>60</v>
      </c>
      <c r="F1318" s="254">
        <v>40189.040000000001</v>
      </c>
      <c r="G1318" s="252">
        <v>8828.92</v>
      </c>
      <c r="H1318" s="253"/>
      <c r="I1318" s="126">
        <f t="shared" si="86"/>
        <v>49017.96</v>
      </c>
      <c r="J1318" s="126">
        <f t="shared" si="87"/>
        <v>49017.96</v>
      </c>
      <c r="K1318" s="94"/>
      <c r="M1318" s="95"/>
    </row>
    <row r="1319" spans="2:13" outlineLevel="1" x14ac:dyDescent="0.2">
      <c r="B1319" s="92" t="s">
        <v>1263</v>
      </c>
      <c r="C1319" s="379" t="s">
        <v>1264</v>
      </c>
      <c r="D1319" s="369">
        <v>43830</v>
      </c>
      <c r="E1319" s="378">
        <v>30</v>
      </c>
      <c r="F1319" s="304"/>
      <c r="G1319" s="252">
        <v>5201.45</v>
      </c>
      <c r="H1319" s="253"/>
      <c r="I1319" s="126">
        <f t="shared" si="86"/>
        <v>5201.45</v>
      </c>
      <c r="J1319" s="126">
        <f t="shared" si="87"/>
        <v>5201.45</v>
      </c>
      <c r="K1319" s="94"/>
      <c r="M1319" s="95"/>
    </row>
    <row r="1320" spans="2:13" outlineLevel="1" x14ac:dyDescent="0.2">
      <c r="B1320" s="92" t="s">
        <v>1265</v>
      </c>
      <c r="C1320" s="379" t="s">
        <v>1264</v>
      </c>
      <c r="D1320" s="369">
        <v>43830</v>
      </c>
      <c r="E1320" s="378">
        <v>30</v>
      </c>
      <c r="F1320" s="304"/>
      <c r="G1320" s="252">
        <v>5201.45</v>
      </c>
      <c r="H1320" s="253"/>
      <c r="I1320" s="126">
        <f t="shared" si="86"/>
        <v>5201.45</v>
      </c>
      <c r="J1320" s="126">
        <f t="shared" si="87"/>
        <v>5201.45</v>
      </c>
      <c r="K1320" s="94"/>
      <c r="M1320" s="95"/>
    </row>
    <row r="1321" spans="2:13" ht="22.5" outlineLevel="1" x14ac:dyDescent="0.2">
      <c r="B1321" s="92" t="s">
        <v>1266</v>
      </c>
      <c r="C1321" s="379" t="s">
        <v>1267</v>
      </c>
      <c r="D1321" s="369">
        <v>43830</v>
      </c>
      <c r="E1321" s="378">
        <v>60</v>
      </c>
      <c r="F1321" s="254">
        <v>26091.56</v>
      </c>
      <c r="G1321" s="252">
        <v>16763.45</v>
      </c>
      <c r="H1321" s="253"/>
      <c r="I1321" s="126">
        <f t="shared" si="86"/>
        <v>42855.01</v>
      </c>
      <c r="J1321" s="126">
        <f t="shared" si="87"/>
        <v>42855.01</v>
      </c>
      <c r="K1321" s="94"/>
      <c r="M1321" s="95"/>
    </row>
    <row r="1322" spans="2:13" ht="22.5" outlineLevel="1" x14ac:dyDescent="0.2">
      <c r="B1322" s="92" t="s">
        <v>1268</v>
      </c>
      <c r="C1322" s="379" t="s">
        <v>1269</v>
      </c>
      <c r="D1322" s="369">
        <v>43830</v>
      </c>
      <c r="E1322" s="378">
        <v>30</v>
      </c>
      <c r="F1322" s="304"/>
      <c r="G1322" s="252">
        <v>17317.21</v>
      </c>
      <c r="H1322" s="253"/>
      <c r="I1322" s="126">
        <f t="shared" si="86"/>
        <v>17317.21</v>
      </c>
      <c r="J1322" s="126">
        <f t="shared" si="87"/>
        <v>17317.21</v>
      </c>
      <c r="K1322" s="94"/>
      <c r="M1322" s="95"/>
    </row>
    <row r="1323" spans="2:13" outlineLevel="1" x14ac:dyDescent="0.2">
      <c r="B1323" s="92" t="s">
        <v>1270</v>
      </c>
      <c r="C1323" s="379" t="s">
        <v>1271</v>
      </c>
      <c r="D1323" s="369">
        <v>43830</v>
      </c>
      <c r="E1323" s="378">
        <v>30</v>
      </c>
      <c r="F1323" s="304"/>
      <c r="G1323" s="252">
        <v>11002.57</v>
      </c>
      <c r="H1323" s="253"/>
      <c r="I1323" s="126">
        <f t="shared" si="86"/>
        <v>11002.57</v>
      </c>
      <c r="J1323" s="126">
        <f t="shared" si="87"/>
        <v>11002.57</v>
      </c>
      <c r="K1323" s="94"/>
      <c r="M1323" s="95"/>
    </row>
    <row r="1324" spans="2:13" outlineLevel="1" x14ac:dyDescent="0.2">
      <c r="B1324" s="92" t="s">
        <v>1272</v>
      </c>
      <c r="C1324" s="379" t="s">
        <v>1217</v>
      </c>
      <c r="D1324" s="369">
        <v>43830</v>
      </c>
      <c r="E1324" s="378">
        <v>60</v>
      </c>
      <c r="F1324" s="254">
        <v>62047.22</v>
      </c>
      <c r="G1324" s="252">
        <v>11020.28</v>
      </c>
      <c r="H1324" s="253"/>
      <c r="I1324" s="126">
        <f t="shared" si="86"/>
        <v>73067.5</v>
      </c>
      <c r="J1324" s="126">
        <f t="shared" si="87"/>
        <v>73067.5</v>
      </c>
      <c r="K1324" s="94"/>
      <c r="M1324" s="95"/>
    </row>
    <row r="1325" spans="2:13" outlineLevel="1" x14ac:dyDescent="0.2">
      <c r="B1325" s="92" t="s">
        <v>1273</v>
      </c>
      <c r="C1325" s="379" t="s">
        <v>1274</v>
      </c>
      <c r="D1325" s="369">
        <v>43830</v>
      </c>
      <c r="E1325" s="378">
        <v>80</v>
      </c>
      <c r="F1325" s="257">
        <v>39836</v>
      </c>
      <c r="G1325" s="252">
        <v>6802.58</v>
      </c>
      <c r="H1325" s="253"/>
      <c r="I1325" s="126">
        <f t="shared" si="86"/>
        <v>46638.58</v>
      </c>
      <c r="J1325" s="126">
        <f t="shared" si="87"/>
        <v>46638.58</v>
      </c>
      <c r="K1325" s="94"/>
      <c r="M1325" s="95"/>
    </row>
    <row r="1326" spans="2:13" ht="22.5" outlineLevel="1" x14ac:dyDescent="0.2">
      <c r="B1326" s="92" t="s">
        <v>1275</v>
      </c>
      <c r="C1326" s="379" t="s">
        <v>1236</v>
      </c>
      <c r="D1326" s="369">
        <v>43830</v>
      </c>
      <c r="E1326" s="378">
        <v>80</v>
      </c>
      <c r="F1326" s="257">
        <v>39939</v>
      </c>
      <c r="G1326" s="252">
        <v>4216.3999999999996</v>
      </c>
      <c r="H1326" s="253"/>
      <c r="I1326" s="126">
        <f t="shared" si="86"/>
        <v>44155.4</v>
      </c>
      <c r="J1326" s="126">
        <f t="shared" si="87"/>
        <v>44155.4</v>
      </c>
      <c r="K1326" s="94"/>
      <c r="M1326" s="95"/>
    </row>
    <row r="1327" spans="2:13" ht="22.5" outlineLevel="1" x14ac:dyDescent="0.2">
      <c r="B1327" s="92" t="s">
        <v>1276</v>
      </c>
      <c r="C1327" s="379" t="s">
        <v>1277</v>
      </c>
      <c r="D1327" s="369">
        <v>43830</v>
      </c>
      <c r="E1327" s="378">
        <v>80</v>
      </c>
      <c r="F1327" s="257">
        <v>39836</v>
      </c>
      <c r="G1327" s="252">
        <v>4759.8100000000004</v>
      </c>
      <c r="H1327" s="253"/>
      <c r="I1327" s="126">
        <f t="shared" si="86"/>
        <v>44595.81</v>
      </c>
      <c r="J1327" s="126">
        <f t="shared" si="87"/>
        <v>44595.81</v>
      </c>
      <c r="K1327" s="94"/>
      <c r="M1327" s="95"/>
    </row>
    <row r="1328" spans="2:13" outlineLevel="1" x14ac:dyDescent="0.2">
      <c r="B1328" s="92" t="s">
        <v>1278</v>
      </c>
      <c r="C1328" s="379" t="s">
        <v>1279</v>
      </c>
      <c r="D1328" s="369">
        <v>43830</v>
      </c>
      <c r="E1328" s="378">
        <v>60</v>
      </c>
      <c r="F1328" s="257">
        <v>46602</v>
      </c>
      <c r="G1328" s="252">
        <v>4216.3999999999996</v>
      </c>
      <c r="H1328" s="253"/>
      <c r="I1328" s="126">
        <f t="shared" si="86"/>
        <v>50818.400000000001</v>
      </c>
      <c r="J1328" s="126">
        <f t="shared" si="87"/>
        <v>50818.400000000001</v>
      </c>
      <c r="K1328" s="94"/>
      <c r="M1328" s="95"/>
    </row>
    <row r="1329" spans="2:13" outlineLevel="1" x14ac:dyDescent="0.2">
      <c r="B1329" s="92" t="s">
        <v>1280</v>
      </c>
      <c r="C1329" s="379" t="s">
        <v>1281</v>
      </c>
      <c r="D1329" s="369">
        <v>43830</v>
      </c>
      <c r="E1329" s="378">
        <v>80</v>
      </c>
      <c r="F1329" s="254">
        <v>48949.69</v>
      </c>
      <c r="G1329" s="252">
        <v>4759.8100000000004</v>
      </c>
      <c r="H1329" s="253"/>
      <c r="I1329" s="126">
        <f t="shared" si="86"/>
        <v>53709.5</v>
      </c>
      <c r="J1329" s="126">
        <f t="shared" si="87"/>
        <v>53709.5</v>
      </c>
      <c r="K1329" s="94"/>
      <c r="M1329" s="95"/>
    </row>
    <row r="1330" spans="2:13" ht="22.5" outlineLevel="1" x14ac:dyDescent="0.2">
      <c r="B1330" s="92" t="s">
        <v>1282</v>
      </c>
      <c r="C1330" s="379" t="s">
        <v>1283</v>
      </c>
      <c r="D1330" s="369">
        <v>43830</v>
      </c>
      <c r="E1330" s="378">
        <v>80</v>
      </c>
      <c r="F1330" s="254">
        <v>47095.95</v>
      </c>
      <c r="G1330" s="252">
        <v>4759.8100000000004</v>
      </c>
      <c r="H1330" s="253"/>
      <c r="I1330" s="126">
        <f t="shared" si="86"/>
        <v>51855.759999999995</v>
      </c>
      <c r="J1330" s="126">
        <f t="shared" si="87"/>
        <v>51855.759999999995</v>
      </c>
      <c r="K1330" s="94"/>
      <c r="M1330" s="95"/>
    </row>
    <row r="1331" spans="2:13" ht="22.5" outlineLevel="1" x14ac:dyDescent="0.2">
      <c r="B1331" s="92" t="s">
        <v>1284</v>
      </c>
      <c r="C1331" s="379" t="s">
        <v>1285</v>
      </c>
      <c r="D1331" s="369">
        <v>43830</v>
      </c>
      <c r="E1331" s="378">
        <v>80</v>
      </c>
      <c r="F1331" s="254">
        <v>42782.69</v>
      </c>
      <c r="G1331" s="252">
        <v>4759.8100000000004</v>
      </c>
      <c r="H1331" s="253"/>
      <c r="I1331" s="126">
        <f t="shared" si="86"/>
        <v>47542.5</v>
      </c>
      <c r="J1331" s="126">
        <f t="shared" si="87"/>
        <v>47542.5</v>
      </c>
      <c r="K1331" s="94"/>
      <c r="M1331" s="95"/>
    </row>
    <row r="1332" spans="2:13" ht="22.5" outlineLevel="1" x14ac:dyDescent="0.2">
      <c r="B1332" s="92" t="s">
        <v>1286</v>
      </c>
      <c r="C1332" s="379" t="s">
        <v>1281</v>
      </c>
      <c r="D1332" s="369">
        <v>43830</v>
      </c>
      <c r="E1332" s="378">
        <v>80</v>
      </c>
      <c r="F1332" s="254">
        <v>42782.69</v>
      </c>
      <c r="G1332" s="252">
        <v>4759.8100000000004</v>
      </c>
      <c r="H1332" s="253"/>
      <c r="I1332" s="126">
        <f t="shared" si="86"/>
        <v>47542.5</v>
      </c>
      <c r="J1332" s="126">
        <f t="shared" si="87"/>
        <v>47542.5</v>
      </c>
      <c r="K1332" s="94"/>
      <c r="M1332" s="95"/>
    </row>
    <row r="1333" spans="2:13" ht="22.5" outlineLevel="1" x14ac:dyDescent="0.2">
      <c r="B1333" s="92" t="s">
        <v>1287</v>
      </c>
      <c r="C1333" s="380">
        <v>43304</v>
      </c>
      <c r="D1333" s="369">
        <v>43830</v>
      </c>
      <c r="E1333" s="378">
        <v>60</v>
      </c>
      <c r="F1333" s="254">
        <v>42782.69</v>
      </c>
      <c r="G1333" s="252">
        <v>4759.8100000000004</v>
      </c>
      <c r="H1333" s="253"/>
      <c r="I1333" s="126">
        <f t="shared" si="86"/>
        <v>47542.5</v>
      </c>
      <c r="J1333" s="126">
        <f t="shared" si="87"/>
        <v>47542.5</v>
      </c>
      <c r="K1333" s="94"/>
      <c r="M1333" s="95"/>
    </row>
    <row r="1334" spans="2:13" outlineLevel="1" x14ac:dyDescent="0.2">
      <c r="B1334" s="92" t="s">
        <v>1288</v>
      </c>
      <c r="C1334" s="379" t="s">
        <v>1281</v>
      </c>
      <c r="D1334" s="369">
        <v>43830</v>
      </c>
      <c r="E1334" s="378">
        <v>80</v>
      </c>
      <c r="F1334" s="254">
        <v>46799.69</v>
      </c>
      <c r="G1334" s="252">
        <v>4759.8100000000004</v>
      </c>
      <c r="H1334" s="253"/>
      <c r="I1334" s="126">
        <f t="shared" si="86"/>
        <v>51559.5</v>
      </c>
      <c r="J1334" s="126">
        <f t="shared" si="87"/>
        <v>51559.5</v>
      </c>
      <c r="K1334" s="94"/>
      <c r="M1334" s="95"/>
    </row>
    <row r="1335" spans="2:13" outlineLevel="1" x14ac:dyDescent="0.2">
      <c r="B1335" s="92" t="s">
        <v>1289</v>
      </c>
      <c r="C1335" s="379" t="s">
        <v>1290</v>
      </c>
      <c r="D1335" s="369">
        <v>43830</v>
      </c>
      <c r="E1335" s="378">
        <v>80</v>
      </c>
      <c r="F1335" s="257">
        <v>47789</v>
      </c>
      <c r="G1335" s="252">
        <v>6802.58</v>
      </c>
      <c r="H1335" s="253"/>
      <c r="I1335" s="126">
        <f t="shared" si="86"/>
        <v>54591.58</v>
      </c>
      <c r="J1335" s="126">
        <f t="shared" si="87"/>
        <v>54591.58</v>
      </c>
      <c r="K1335" s="94"/>
      <c r="M1335" s="95"/>
    </row>
    <row r="1336" spans="2:13" outlineLevel="1" x14ac:dyDescent="0.2">
      <c r="B1336" s="92" t="s">
        <v>1291</v>
      </c>
      <c r="C1336" s="379" t="s">
        <v>1281</v>
      </c>
      <c r="D1336" s="369">
        <v>43830</v>
      </c>
      <c r="E1336" s="378">
        <v>80</v>
      </c>
      <c r="F1336" s="254">
        <v>47375.69</v>
      </c>
      <c r="G1336" s="252">
        <v>4759.8100000000004</v>
      </c>
      <c r="H1336" s="253"/>
      <c r="I1336" s="126">
        <f t="shared" si="86"/>
        <v>52135.5</v>
      </c>
      <c r="J1336" s="126">
        <f t="shared" si="87"/>
        <v>52135.5</v>
      </c>
      <c r="K1336" s="94"/>
      <c r="M1336" s="95"/>
    </row>
    <row r="1337" spans="2:13" outlineLevel="1" x14ac:dyDescent="0.2">
      <c r="B1337" s="92" t="s">
        <v>1292</v>
      </c>
      <c r="C1337" s="379" t="s">
        <v>1293</v>
      </c>
      <c r="D1337" s="369">
        <v>43830</v>
      </c>
      <c r="E1337" s="378">
        <v>80</v>
      </c>
      <c r="F1337" s="254">
        <v>50949.69</v>
      </c>
      <c r="G1337" s="252">
        <v>4759.8100000000004</v>
      </c>
      <c r="H1337" s="253"/>
      <c r="I1337" s="126">
        <f t="shared" si="86"/>
        <v>55709.5</v>
      </c>
      <c r="J1337" s="126">
        <f t="shared" si="87"/>
        <v>55709.5</v>
      </c>
      <c r="K1337" s="94"/>
      <c r="M1337" s="95"/>
    </row>
    <row r="1338" spans="2:13" ht="22.5" outlineLevel="1" x14ac:dyDescent="0.2">
      <c r="B1338" s="92" t="s">
        <v>1294</v>
      </c>
      <c r="C1338" s="379" t="s">
        <v>1295</v>
      </c>
      <c r="D1338" s="369">
        <v>43830</v>
      </c>
      <c r="E1338" s="378">
        <v>80</v>
      </c>
      <c r="F1338" s="254">
        <v>51635.69</v>
      </c>
      <c r="G1338" s="252">
        <v>4759.8100000000004</v>
      </c>
      <c r="H1338" s="253"/>
      <c r="I1338" s="126">
        <f t="shared" si="86"/>
        <v>56395.5</v>
      </c>
      <c r="J1338" s="126">
        <f t="shared" si="87"/>
        <v>56395.5</v>
      </c>
      <c r="K1338" s="94"/>
      <c r="M1338" s="95"/>
    </row>
    <row r="1339" spans="2:13" outlineLevel="1" x14ac:dyDescent="0.2">
      <c r="B1339" s="92" t="s">
        <v>1296</v>
      </c>
      <c r="C1339" s="379" t="s">
        <v>1277</v>
      </c>
      <c r="D1339" s="369">
        <v>43830</v>
      </c>
      <c r="E1339" s="378">
        <v>60</v>
      </c>
      <c r="F1339" s="254">
        <v>42830.69</v>
      </c>
      <c r="G1339" s="252">
        <v>4759.8100000000004</v>
      </c>
      <c r="H1339" s="253"/>
      <c r="I1339" s="126">
        <f t="shared" si="86"/>
        <v>47590.5</v>
      </c>
      <c r="J1339" s="126">
        <f t="shared" si="87"/>
        <v>47590.5</v>
      </c>
      <c r="K1339" s="94"/>
      <c r="M1339" s="95"/>
    </row>
    <row r="1340" spans="2:13" outlineLevel="1" x14ac:dyDescent="0.2">
      <c r="B1340" s="92" t="s">
        <v>1297</v>
      </c>
      <c r="C1340" s="379" t="s">
        <v>1298</v>
      </c>
      <c r="D1340" s="369">
        <v>43830</v>
      </c>
      <c r="E1340" s="378">
        <v>30</v>
      </c>
      <c r="F1340" s="304"/>
      <c r="G1340" s="252">
        <v>11629.45</v>
      </c>
      <c r="H1340" s="253"/>
      <c r="I1340" s="126">
        <f t="shared" si="86"/>
        <v>11629.45</v>
      </c>
      <c r="J1340" s="126">
        <f t="shared" si="87"/>
        <v>11629.45</v>
      </c>
      <c r="K1340" s="94"/>
      <c r="M1340" s="95"/>
    </row>
    <row r="1341" spans="2:13" outlineLevel="1" x14ac:dyDescent="0.2">
      <c r="B1341" s="92" t="s">
        <v>1299</v>
      </c>
      <c r="C1341" s="379" t="s">
        <v>1300</v>
      </c>
      <c r="D1341" s="369">
        <v>43830</v>
      </c>
      <c r="E1341" s="378">
        <v>60</v>
      </c>
      <c r="F1341" s="254">
        <v>28746.12</v>
      </c>
      <c r="G1341" s="252">
        <v>8912.39</v>
      </c>
      <c r="H1341" s="253"/>
      <c r="I1341" s="126">
        <f t="shared" si="86"/>
        <v>37658.509999999995</v>
      </c>
      <c r="J1341" s="126">
        <f t="shared" si="87"/>
        <v>37658.509999999995</v>
      </c>
      <c r="K1341" s="94"/>
      <c r="M1341" s="95"/>
    </row>
    <row r="1342" spans="2:13" outlineLevel="1" x14ac:dyDescent="0.2">
      <c r="B1342" s="92" t="s">
        <v>1301</v>
      </c>
      <c r="C1342" s="379" t="s">
        <v>1302</v>
      </c>
      <c r="D1342" s="369">
        <v>43830</v>
      </c>
      <c r="E1342" s="378">
        <v>30</v>
      </c>
      <c r="F1342" s="304"/>
      <c r="G1342" s="252">
        <v>11086.04</v>
      </c>
      <c r="H1342" s="253"/>
      <c r="I1342" s="126">
        <f t="shared" si="86"/>
        <v>11086.04</v>
      </c>
      <c r="J1342" s="126">
        <f t="shared" si="87"/>
        <v>11086.04</v>
      </c>
      <c r="K1342" s="94"/>
      <c r="M1342" s="95"/>
    </row>
    <row r="1343" spans="2:13" ht="22.5" outlineLevel="1" x14ac:dyDescent="0.2">
      <c r="B1343" s="92" t="s">
        <v>1303</v>
      </c>
      <c r="C1343" s="379" t="s">
        <v>1304</v>
      </c>
      <c r="D1343" s="369">
        <v>43830</v>
      </c>
      <c r="E1343" s="378">
        <v>60</v>
      </c>
      <c r="F1343" s="254">
        <v>33071.57</v>
      </c>
      <c r="G1343" s="252">
        <v>8912.39</v>
      </c>
      <c r="H1343" s="253"/>
      <c r="I1343" s="126">
        <f t="shared" si="86"/>
        <v>41983.96</v>
      </c>
      <c r="J1343" s="126">
        <f t="shared" si="87"/>
        <v>41983.96</v>
      </c>
      <c r="K1343" s="94"/>
      <c r="M1343" s="95"/>
    </row>
    <row r="1344" spans="2:13" ht="22.5" outlineLevel="1" x14ac:dyDescent="0.2">
      <c r="B1344" s="92" t="s">
        <v>1305</v>
      </c>
      <c r="C1344" s="379" t="s">
        <v>1306</v>
      </c>
      <c r="D1344" s="369">
        <v>43830</v>
      </c>
      <c r="E1344" s="378">
        <v>30</v>
      </c>
      <c r="F1344" s="304"/>
      <c r="G1344" s="252">
        <v>8912.39</v>
      </c>
      <c r="H1344" s="253"/>
      <c r="I1344" s="126">
        <f t="shared" si="86"/>
        <v>8912.39</v>
      </c>
      <c r="J1344" s="126">
        <f t="shared" si="87"/>
        <v>8912.39</v>
      </c>
      <c r="K1344" s="94"/>
      <c r="M1344" s="95"/>
    </row>
    <row r="1345" spans="2:13" outlineLevel="1" x14ac:dyDescent="0.2">
      <c r="B1345" s="92" t="s">
        <v>1307</v>
      </c>
      <c r="C1345" s="379" t="s">
        <v>1308</v>
      </c>
      <c r="D1345" s="369">
        <v>43830</v>
      </c>
      <c r="E1345" s="378">
        <v>30</v>
      </c>
      <c r="F1345" s="304"/>
      <c r="G1345" s="252">
        <v>7433.93</v>
      </c>
      <c r="H1345" s="253"/>
      <c r="I1345" s="126">
        <f t="shared" si="86"/>
        <v>7433.93</v>
      </c>
      <c r="J1345" s="126">
        <f t="shared" si="87"/>
        <v>7433.93</v>
      </c>
      <c r="K1345" s="94"/>
      <c r="M1345" s="95"/>
    </row>
    <row r="1346" spans="2:13" ht="22.5" outlineLevel="1" x14ac:dyDescent="0.2">
      <c r="B1346" s="92" t="s">
        <v>1309</v>
      </c>
      <c r="C1346" s="379" t="s">
        <v>1310</v>
      </c>
      <c r="D1346" s="369">
        <v>43830</v>
      </c>
      <c r="E1346" s="378">
        <v>60</v>
      </c>
      <c r="F1346" s="257">
        <v>55245</v>
      </c>
      <c r="G1346" s="252">
        <v>8820.9500000000007</v>
      </c>
      <c r="H1346" s="253"/>
      <c r="I1346" s="126">
        <f t="shared" si="86"/>
        <v>64065.95</v>
      </c>
      <c r="J1346" s="126">
        <f t="shared" si="87"/>
        <v>64065.95</v>
      </c>
      <c r="K1346" s="94"/>
      <c r="M1346" s="95"/>
    </row>
    <row r="1347" spans="2:13" outlineLevel="1" x14ac:dyDescent="0.2">
      <c r="B1347" s="92" t="s">
        <v>1311</v>
      </c>
      <c r="C1347" s="379" t="s">
        <v>1283</v>
      </c>
      <c r="D1347" s="369">
        <v>43830</v>
      </c>
      <c r="E1347" s="378">
        <v>30</v>
      </c>
      <c r="F1347" s="304"/>
      <c r="G1347" s="252">
        <v>10645.55</v>
      </c>
      <c r="H1347" s="253"/>
      <c r="I1347" s="126">
        <f t="shared" si="86"/>
        <v>10645.55</v>
      </c>
      <c r="J1347" s="126">
        <f t="shared" si="87"/>
        <v>10645.55</v>
      </c>
      <c r="K1347" s="94"/>
      <c r="M1347" s="95"/>
    </row>
    <row r="1348" spans="2:13" ht="22.5" outlineLevel="1" x14ac:dyDescent="0.2">
      <c r="B1348" s="92" t="s">
        <v>1312</v>
      </c>
      <c r="C1348" s="379" t="s">
        <v>1313</v>
      </c>
      <c r="D1348" s="369">
        <v>43830</v>
      </c>
      <c r="E1348" s="378">
        <v>60</v>
      </c>
      <c r="F1348" s="254">
        <v>54977.22</v>
      </c>
      <c r="G1348" s="252">
        <v>10645.55</v>
      </c>
      <c r="H1348" s="253"/>
      <c r="I1348" s="126">
        <f t="shared" si="86"/>
        <v>65622.77</v>
      </c>
      <c r="J1348" s="126">
        <f t="shared" si="87"/>
        <v>65622.77</v>
      </c>
      <c r="K1348" s="94"/>
      <c r="M1348" s="95"/>
    </row>
    <row r="1349" spans="2:13" ht="22.5" outlineLevel="1" x14ac:dyDescent="0.2">
      <c r="B1349" s="92" t="s">
        <v>1314</v>
      </c>
      <c r="C1349" s="379" t="s">
        <v>1315</v>
      </c>
      <c r="D1349" s="369">
        <v>43830</v>
      </c>
      <c r="E1349" s="378">
        <v>30</v>
      </c>
      <c r="F1349" s="304"/>
      <c r="G1349" s="252">
        <v>19062.52</v>
      </c>
      <c r="H1349" s="253"/>
      <c r="I1349" s="126">
        <f t="shared" si="86"/>
        <v>19062.52</v>
      </c>
      <c r="J1349" s="126">
        <f t="shared" si="87"/>
        <v>19062.52</v>
      </c>
      <c r="K1349" s="94"/>
      <c r="M1349" s="95"/>
    </row>
    <row r="1350" spans="2:13" outlineLevel="1" x14ac:dyDescent="0.2">
      <c r="B1350" s="92" t="s">
        <v>1316</v>
      </c>
      <c r="C1350" s="379" t="s">
        <v>1317</v>
      </c>
      <c r="D1350" s="369">
        <v>43830</v>
      </c>
      <c r="E1350" s="378">
        <v>60</v>
      </c>
      <c r="F1350" s="254">
        <v>40313.39</v>
      </c>
      <c r="G1350" s="252">
        <v>10686.93</v>
      </c>
      <c r="H1350" s="253"/>
      <c r="I1350" s="126">
        <f t="shared" si="86"/>
        <v>51000.32</v>
      </c>
      <c r="J1350" s="126">
        <f t="shared" si="87"/>
        <v>51000.32</v>
      </c>
      <c r="K1350" s="94"/>
      <c r="M1350" s="95"/>
    </row>
    <row r="1351" spans="2:13" outlineLevel="1" x14ac:dyDescent="0.2">
      <c r="B1351" s="92" t="s">
        <v>1318</v>
      </c>
      <c r="C1351" s="379" t="s">
        <v>1319</v>
      </c>
      <c r="D1351" s="369">
        <v>43830</v>
      </c>
      <c r="E1351" s="378">
        <v>60</v>
      </c>
      <c r="F1351" s="254">
        <v>60629.22</v>
      </c>
      <c r="G1351" s="252">
        <v>8471.9</v>
      </c>
      <c r="H1351" s="253"/>
      <c r="I1351" s="126">
        <f t="shared" si="86"/>
        <v>69101.119999999995</v>
      </c>
      <c r="J1351" s="126">
        <f t="shared" si="87"/>
        <v>69101.119999999995</v>
      </c>
      <c r="K1351" s="94"/>
      <c r="M1351" s="95"/>
    </row>
    <row r="1352" spans="2:13" outlineLevel="1" x14ac:dyDescent="0.2">
      <c r="B1352" s="92" t="s">
        <v>1320</v>
      </c>
      <c r="C1352" s="379" t="s">
        <v>1321</v>
      </c>
      <c r="D1352" s="369">
        <v>43830</v>
      </c>
      <c r="E1352" s="378">
        <v>30</v>
      </c>
      <c r="F1352" s="304"/>
      <c r="G1352" s="252">
        <v>8471.9</v>
      </c>
      <c r="H1352" s="253"/>
      <c r="I1352" s="126">
        <f t="shared" si="86"/>
        <v>8471.9</v>
      </c>
      <c r="J1352" s="126">
        <f t="shared" si="87"/>
        <v>8471.9</v>
      </c>
      <c r="K1352" s="94"/>
      <c r="M1352" s="95"/>
    </row>
    <row r="1353" spans="2:13" outlineLevel="1" x14ac:dyDescent="0.2">
      <c r="B1353" s="92" t="s">
        <v>1322</v>
      </c>
      <c r="C1353" s="379" t="s">
        <v>1267</v>
      </c>
      <c r="D1353" s="369">
        <v>43830</v>
      </c>
      <c r="E1353" s="378">
        <v>30</v>
      </c>
      <c r="F1353" s="304"/>
      <c r="G1353" s="252">
        <v>8471.9</v>
      </c>
      <c r="H1353" s="253"/>
      <c r="I1353" s="126">
        <f t="shared" si="86"/>
        <v>8471.9</v>
      </c>
      <c r="J1353" s="126">
        <f t="shared" si="87"/>
        <v>8471.9</v>
      </c>
      <c r="K1353" s="94"/>
      <c r="M1353" s="95"/>
    </row>
    <row r="1354" spans="2:13" outlineLevel="1" x14ac:dyDescent="0.2">
      <c r="B1354" s="92" t="s">
        <v>1323</v>
      </c>
      <c r="C1354" s="379" t="s">
        <v>1242</v>
      </c>
      <c r="D1354" s="369">
        <v>43830</v>
      </c>
      <c r="E1354" s="378">
        <v>60</v>
      </c>
      <c r="F1354" s="254">
        <v>29500.21</v>
      </c>
      <c r="G1354" s="252">
        <v>8471.9</v>
      </c>
      <c r="H1354" s="253"/>
      <c r="I1354" s="126">
        <f t="shared" si="86"/>
        <v>37972.11</v>
      </c>
      <c r="J1354" s="126">
        <f t="shared" si="87"/>
        <v>37972.11</v>
      </c>
      <c r="K1354" s="94"/>
      <c r="M1354" s="95"/>
    </row>
    <row r="1355" spans="2:13" outlineLevel="1" x14ac:dyDescent="0.2">
      <c r="B1355" s="92" t="s">
        <v>1324</v>
      </c>
      <c r="C1355" s="379" t="s">
        <v>1325</v>
      </c>
      <c r="D1355" s="369">
        <v>43830</v>
      </c>
      <c r="E1355" s="378">
        <v>30</v>
      </c>
      <c r="F1355" s="304"/>
      <c r="G1355" s="252">
        <v>8471.9</v>
      </c>
      <c r="H1355" s="253"/>
      <c r="I1355" s="126">
        <f t="shared" si="86"/>
        <v>8471.9</v>
      </c>
      <c r="J1355" s="126">
        <f t="shared" si="87"/>
        <v>8471.9</v>
      </c>
      <c r="K1355" s="94"/>
      <c r="M1355" s="95"/>
    </row>
    <row r="1356" spans="2:13" outlineLevel="1" x14ac:dyDescent="0.2">
      <c r="B1356" s="92" t="s">
        <v>1326</v>
      </c>
      <c r="C1356" s="379" t="s">
        <v>1327</v>
      </c>
      <c r="D1356" s="369">
        <v>43830</v>
      </c>
      <c r="E1356" s="378">
        <v>30</v>
      </c>
      <c r="F1356" s="304"/>
      <c r="G1356" s="252">
        <v>8471.9</v>
      </c>
      <c r="H1356" s="253"/>
      <c r="I1356" s="126">
        <f t="shared" si="86"/>
        <v>8471.9</v>
      </c>
      <c r="J1356" s="126">
        <f t="shared" si="87"/>
        <v>8471.9</v>
      </c>
      <c r="K1356" s="94"/>
      <c r="M1356" s="95"/>
    </row>
    <row r="1357" spans="2:13" outlineLevel="1" x14ac:dyDescent="0.2">
      <c r="B1357" s="92" t="s">
        <v>1328</v>
      </c>
      <c r="C1357" s="379" t="s">
        <v>1238</v>
      </c>
      <c r="D1357" s="369">
        <v>43830</v>
      </c>
      <c r="E1357" s="378">
        <v>60</v>
      </c>
      <c r="F1357" s="254">
        <v>29476.03</v>
      </c>
      <c r="G1357" s="252">
        <v>10915.58</v>
      </c>
      <c r="H1357" s="253"/>
      <c r="I1357" s="126">
        <f t="shared" si="86"/>
        <v>40391.61</v>
      </c>
      <c r="J1357" s="126">
        <f t="shared" si="87"/>
        <v>40391.61</v>
      </c>
      <c r="K1357" s="94"/>
      <c r="M1357" s="95"/>
    </row>
    <row r="1358" spans="2:13" outlineLevel="1" x14ac:dyDescent="0.2">
      <c r="B1358" s="92" t="s">
        <v>1329</v>
      </c>
      <c r="C1358" s="379" t="s">
        <v>1233</v>
      </c>
      <c r="D1358" s="369">
        <v>43830</v>
      </c>
      <c r="E1358" s="378">
        <v>60</v>
      </c>
      <c r="F1358" s="254">
        <v>30228.67</v>
      </c>
      <c r="G1358" s="252">
        <v>8741.93</v>
      </c>
      <c r="H1358" s="253"/>
      <c r="I1358" s="126">
        <f t="shared" si="86"/>
        <v>38970.6</v>
      </c>
      <c r="J1358" s="126">
        <f t="shared" si="87"/>
        <v>38970.6</v>
      </c>
      <c r="K1358" s="94"/>
      <c r="M1358" s="95"/>
    </row>
    <row r="1359" spans="2:13" outlineLevel="1" x14ac:dyDescent="0.2">
      <c r="B1359" s="92" t="s">
        <v>1330</v>
      </c>
      <c r="C1359" s="379" t="s">
        <v>1238</v>
      </c>
      <c r="D1359" s="369">
        <v>43830</v>
      </c>
      <c r="E1359" s="378">
        <v>60</v>
      </c>
      <c r="F1359" s="254">
        <v>29371.08</v>
      </c>
      <c r="G1359" s="252">
        <v>2173.65</v>
      </c>
      <c r="H1359" s="253"/>
      <c r="I1359" s="126">
        <f t="shared" si="86"/>
        <v>31544.730000000003</v>
      </c>
      <c r="J1359" s="126">
        <f t="shared" si="87"/>
        <v>31544.730000000003</v>
      </c>
      <c r="K1359" s="94"/>
      <c r="M1359" s="95"/>
    </row>
    <row r="1360" spans="2:13" outlineLevel="1" x14ac:dyDescent="0.2">
      <c r="B1360" s="92" t="s">
        <v>1331</v>
      </c>
      <c r="C1360" s="379" t="s">
        <v>1238</v>
      </c>
      <c r="D1360" s="369">
        <v>43830</v>
      </c>
      <c r="E1360" s="378">
        <v>60</v>
      </c>
      <c r="F1360" s="254">
        <v>27668.78</v>
      </c>
      <c r="G1360" s="252">
        <v>10915.58</v>
      </c>
      <c r="H1360" s="253"/>
      <c r="I1360" s="126">
        <f t="shared" si="86"/>
        <v>38584.36</v>
      </c>
      <c r="J1360" s="126">
        <f t="shared" si="87"/>
        <v>38584.36</v>
      </c>
      <c r="K1360" s="94"/>
      <c r="M1360" s="95"/>
    </row>
    <row r="1361" spans="2:13" outlineLevel="1" x14ac:dyDescent="0.2">
      <c r="B1361" s="92" t="s">
        <v>1332</v>
      </c>
      <c r="C1361" s="379" t="s">
        <v>1333</v>
      </c>
      <c r="D1361" s="369">
        <v>43830</v>
      </c>
      <c r="E1361" s="378">
        <v>30</v>
      </c>
      <c r="F1361" s="304"/>
      <c r="G1361" s="252">
        <v>14254.54</v>
      </c>
      <c r="H1361" s="253"/>
      <c r="I1361" s="126">
        <f t="shared" si="86"/>
        <v>14254.54</v>
      </c>
      <c r="J1361" s="126">
        <f t="shared" si="87"/>
        <v>14254.54</v>
      </c>
      <c r="K1361" s="94"/>
      <c r="M1361" s="95"/>
    </row>
    <row r="1362" spans="2:13" outlineLevel="1" x14ac:dyDescent="0.2">
      <c r="B1362" s="92" t="s">
        <v>1334</v>
      </c>
      <c r="C1362" s="379" t="s">
        <v>1335</v>
      </c>
      <c r="D1362" s="369">
        <v>43830</v>
      </c>
      <c r="E1362" s="378">
        <v>30</v>
      </c>
      <c r="F1362" s="304"/>
      <c r="G1362" s="252">
        <v>16971.599999999999</v>
      </c>
      <c r="H1362" s="253"/>
      <c r="I1362" s="126">
        <f t="shared" si="86"/>
        <v>16971.599999999999</v>
      </c>
      <c r="J1362" s="126">
        <f t="shared" si="87"/>
        <v>16971.599999999999</v>
      </c>
      <c r="K1362" s="94"/>
      <c r="M1362" s="95"/>
    </row>
    <row r="1363" spans="2:13" ht="22.5" outlineLevel="1" x14ac:dyDescent="0.2">
      <c r="B1363" s="92" t="s">
        <v>1336</v>
      </c>
      <c r="C1363" s="379" t="s">
        <v>1337</v>
      </c>
      <c r="D1363" s="369">
        <v>43830</v>
      </c>
      <c r="E1363" s="378">
        <v>30</v>
      </c>
      <c r="F1363" s="304"/>
      <c r="G1363" s="252">
        <v>8488.2900000000009</v>
      </c>
      <c r="H1363" s="253"/>
      <c r="I1363" s="126">
        <f t="shared" si="86"/>
        <v>8488.2900000000009</v>
      </c>
      <c r="J1363" s="126">
        <f t="shared" si="87"/>
        <v>8488.2900000000009</v>
      </c>
      <c r="K1363" s="94"/>
      <c r="M1363" s="95"/>
    </row>
    <row r="1364" spans="2:13" ht="22.5" outlineLevel="1" x14ac:dyDescent="0.2">
      <c r="B1364" s="92" t="s">
        <v>1338</v>
      </c>
      <c r="C1364" s="379" t="s">
        <v>1267</v>
      </c>
      <c r="D1364" s="369">
        <v>43830</v>
      </c>
      <c r="E1364" s="378">
        <v>30</v>
      </c>
      <c r="F1364" s="304"/>
      <c r="G1364" s="252">
        <v>7934.53</v>
      </c>
      <c r="H1364" s="253"/>
      <c r="I1364" s="126">
        <f t="shared" si="86"/>
        <v>7934.53</v>
      </c>
      <c r="J1364" s="126">
        <f t="shared" si="87"/>
        <v>7934.53</v>
      </c>
      <c r="K1364" s="94"/>
      <c r="M1364" s="95"/>
    </row>
    <row r="1365" spans="2:13" ht="22.5" outlineLevel="1" x14ac:dyDescent="0.2">
      <c r="B1365" s="92" t="s">
        <v>1339</v>
      </c>
      <c r="C1365" s="379" t="s">
        <v>1340</v>
      </c>
      <c r="D1365" s="369">
        <v>43830</v>
      </c>
      <c r="E1365" s="378">
        <v>30</v>
      </c>
      <c r="F1365" s="304"/>
      <c r="G1365" s="252">
        <v>11257</v>
      </c>
      <c r="H1365" s="253"/>
      <c r="I1365" s="126">
        <f t="shared" si="86"/>
        <v>11257</v>
      </c>
      <c r="J1365" s="126">
        <f t="shared" si="87"/>
        <v>11257</v>
      </c>
      <c r="K1365" s="94"/>
      <c r="M1365" s="95"/>
    </row>
    <row r="1366" spans="2:13" ht="22.5" outlineLevel="1" x14ac:dyDescent="0.2">
      <c r="B1366" s="92" t="s">
        <v>1341</v>
      </c>
      <c r="C1366" s="379" t="s">
        <v>1342</v>
      </c>
      <c r="D1366" s="369">
        <v>43830</v>
      </c>
      <c r="E1366" s="378">
        <v>30</v>
      </c>
      <c r="F1366" s="304"/>
      <c r="G1366" s="252">
        <v>5719.5</v>
      </c>
      <c r="H1366" s="253"/>
      <c r="I1366" s="126">
        <f t="shared" ref="I1366:I1429" si="88">F1366+G1366+H1366</f>
        <v>5719.5</v>
      </c>
      <c r="J1366" s="126">
        <f t="shared" ref="J1366:J1429" si="89">I1366</f>
        <v>5719.5</v>
      </c>
      <c r="K1366" s="94"/>
      <c r="M1366" s="95"/>
    </row>
    <row r="1367" spans="2:13" ht="22.5" outlineLevel="1" x14ac:dyDescent="0.2">
      <c r="B1367" s="92" t="s">
        <v>1343</v>
      </c>
      <c r="C1367" s="379" t="s">
        <v>1344</v>
      </c>
      <c r="D1367" s="369">
        <v>43830</v>
      </c>
      <c r="E1367" s="378">
        <v>30</v>
      </c>
      <c r="F1367" s="304"/>
      <c r="G1367" s="252">
        <v>23377.89</v>
      </c>
      <c r="H1367" s="253"/>
      <c r="I1367" s="126">
        <f t="shared" si="88"/>
        <v>23377.89</v>
      </c>
      <c r="J1367" s="126">
        <f t="shared" si="89"/>
        <v>23377.89</v>
      </c>
      <c r="K1367" s="94"/>
      <c r="M1367" s="95"/>
    </row>
    <row r="1368" spans="2:13" ht="22.5" outlineLevel="1" x14ac:dyDescent="0.2">
      <c r="B1368" s="92" t="s">
        <v>1345</v>
      </c>
      <c r="C1368" s="379" t="s">
        <v>1293</v>
      </c>
      <c r="D1368" s="369">
        <v>43830</v>
      </c>
      <c r="E1368" s="378">
        <v>30</v>
      </c>
      <c r="F1368" s="304"/>
      <c r="G1368" s="252">
        <v>2717.06</v>
      </c>
      <c r="H1368" s="253"/>
      <c r="I1368" s="126">
        <f t="shared" si="88"/>
        <v>2717.06</v>
      </c>
      <c r="J1368" s="126">
        <f t="shared" si="89"/>
        <v>2717.06</v>
      </c>
      <c r="K1368" s="94"/>
      <c r="M1368" s="95"/>
    </row>
    <row r="1369" spans="2:13" outlineLevel="1" x14ac:dyDescent="0.2">
      <c r="B1369" s="92" t="s">
        <v>1346</v>
      </c>
      <c r="C1369" s="379" t="s">
        <v>1347</v>
      </c>
      <c r="D1369" s="369">
        <v>43830</v>
      </c>
      <c r="E1369" s="378">
        <v>60</v>
      </c>
      <c r="F1369" s="254">
        <v>55922.13</v>
      </c>
      <c r="G1369" s="252">
        <v>11532.85</v>
      </c>
      <c r="H1369" s="253"/>
      <c r="I1369" s="126">
        <f t="shared" si="88"/>
        <v>67454.98</v>
      </c>
      <c r="J1369" s="126">
        <f t="shared" si="89"/>
        <v>67454.98</v>
      </c>
      <c r="K1369" s="94"/>
      <c r="M1369" s="95"/>
    </row>
    <row r="1370" spans="2:13" outlineLevel="1" x14ac:dyDescent="0.2">
      <c r="B1370" s="92" t="s">
        <v>1348</v>
      </c>
      <c r="C1370" s="379" t="s">
        <v>1349</v>
      </c>
      <c r="D1370" s="369">
        <v>43830</v>
      </c>
      <c r="E1370" s="378">
        <v>30</v>
      </c>
      <c r="F1370" s="304"/>
      <c r="G1370" s="252">
        <v>8741.93</v>
      </c>
      <c r="H1370" s="253"/>
      <c r="I1370" s="126">
        <f t="shared" si="88"/>
        <v>8741.93</v>
      </c>
      <c r="J1370" s="126">
        <f t="shared" si="89"/>
        <v>8741.93</v>
      </c>
      <c r="K1370" s="94"/>
      <c r="M1370" s="95"/>
    </row>
    <row r="1371" spans="2:13" outlineLevel="1" x14ac:dyDescent="0.2">
      <c r="B1371" s="92" t="s">
        <v>1350</v>
      </c>
      <c r="C1371" s="379" t="s">
        <v>1277</v>
      </c>
      <c r="D1371" s="369">
        <v>43830</v>
      </c>
      <c r="E1371" s="378">
        <v>30</v>
      </c>
      <c r="F1371" s="304"/>
      <c r="G1371" s="252">
        <v>7284.77</v>
      </c>
      <c r="H1371" s="253"/>
      <c r="I1371" s="126">
        <f t="shared" si="88"/>
        <v>7284.77</v>
      </c>
      <c r="J1371" s="126">
        <f t="shared" si="89"/>
        <v>7284.77</v>
      </c>
      <c r="K1371" s="94"/>
      <c r="M1371" s="95"/>
    </row>
    <row r="1372" spans="2:13" outlineLevel="1" x14ac:dyDescent="0.2">
      <c r="B1372" s="92" t="s">
        <v>1351</v>
      </c>
      <c r="C1372" s="379" t="s">
        <v>1283</v>
      </c>
      <c r="D1372" s="369">
        <v>43830</v>
      </c>
      <c r="E1372" s="378">
        <v>60</v>
      </c>
      <c r="F1372" s="257">
        <v>66456</v>
      </c>
      <c r="G1372" s="252">
        <v>7156.76</v>
      </c>
      <c r="H1372" s="253"/>
      <c r="I1372" s="126">
        <f t="shared" si="88"/>
        <v>73612.759999999995</v>
      </c>
      <c r="J1372" s="126">
        <f t="shared" si="89"/>
        <v>73612.759999999995</v>
      </c>
      <c r="K1372" s="94"/>
      <c r="M1372" s="95"/>
    </row>
    <row r="1373" spans="2:13" outlineLevel="1" x14ac:dyDescent="0.2">
      <c r="B1373" s="92" t="s">
        <v>1352</v>
      </c>
      <c r="C1373" s="379" t="s">
        <v>1274</v>
      </c>
      <c r="D1373" s="369">
        <v>43830</v>
      </c>
      <c r="E1373" s="378">
        <v>30</v>
      </c>
      <c r="F1373" s="304"/>
      <c r="G1373" s="252">
        <v>11439.93</v>
      </c>
      <c r="H1373" s="253"/>
      <c r="I1373" s="126">
        <f t="shared" si="88"/>
        <v>11439.93</v>
      </c>
      <c r="J1373" s="126">
        <f t="shared" si="89"/>
        <v>11439.93</v>
      </c>
      <c r="K1373" s="94"/>
      <c r="M1373" s="95"/>
    </row>
    <row r="1374" spans="2:13" outlineLevel="1" x14ac:dyDescent="0.2">
      <c r="B1374" s="92" t="s">
        <v>1353</v>
      </c>
      <c r="C1374" s="379" t="s">
        <v>1304</v>
      </c>
      <c r="D1374" s="369">
        <v>43830</v>
      </c>
      <c r="E1374" s="378">
        <v>30</v>
      </c>
      <c r="F1374" s="304"/>
      <c r="G1374" s="252">
        <v>8615.58</v>
      </c>
      <c r="H1374" s="253"/>
      <c r="I1374" s="126">
        <f t="shared" si="88"/>
        <v>8615.58</v>
      </c>
      <c r="J1374" s="126">
        <f t="shared" si="89"/>
        <v>8615.58</v>
      </c>
      <c r="K1374" s="94"/>
      <c r="M1374" s="95"/>
    </row>
    <row r="1375" spans="2:13" ht="22.5" outlineLevel="1" x14ac:dyDescent="0.2">
      <c r="B1375" s="92" t="s">
        <v>1354</v>
      </c>
      <c r="C1375" s="379" t="s">
        <v>1355</v>
      </c>
      <c r="D1375" s="369">
        <v>43830</v>
      </c>
      <c r="E1375" s="378">
        <v>30</v>
      </c>
      <c r="F1375" s="304"/>
      <c r="G1375" s="252">
        <v>2768.79</v>
      </c>
      <c r="H1375" s="253"/>
      <c r="I1375" s="126">
        <f t="shared" si="88"/>
        <v>2768.79</v>
      </c>
      <c r="J1375" s="126">
        <f t="shared" si="89"/>
        <v>2768.79</v>
      </c>
      <c r="K1375" s="94"/>
      <c r="M1375" s="95"/>
    </row>
    <row r="1376" spans="2:13" ht="22.5" outlineLevel="1" x14ac:dyDescent="0.2">
      <c r="B1376" s="92" t="s">
        <v>1356</v>
      </c>
      <c r="C1376" s="379" t="s">
        <v>1252</v>
      </c>
      <c r="D1376" s="369">
        <v>43830</v>
      </c>
      <c r="E1376" s="378">
        <v>30</v>
      </c>
      <c r="F1376" s="304"/>
      <c r="G1376" s="252">
        <v>2768.79</v>
      </c>
      <c r="H1376" s="253"/>
      <c r="I1376" s="126">
        <f t="shared" si="88"/>
        <v>2768.79</v>
      </c>
      <c r="J1376" s="126">
        <f t="shared" si="89"/>
        <v>2768.79</v>
      </c>
      <c r="K1376" s="94"/>
      <c r="M1376" s="95"/>
    </row>
    <row r="1377" spans="2:13" ht="22.5" outlineLevel="1" x14ac:dyDescent="0.2">
      <c r="B1377" s="92" t="s">
        <v>1357</v>
      </c>
      <c r="C1377" s="375" t="s">
        <v>1482</v>
      </c>
      <c r="D1377" s="369">
        <v>43830</v>
      </c>
      <c r="E1377" s="378"/>
      <c r="F1377" s="304"/>
      <c r="G1377" s="252">
        <v>4804.0600000000004</v>
      </c>
      <c r="H1377" s="253"/>
      <c r="I1377" s="126">
        <f t="shared" si="88"/>
        <v>4804.0600000000004</v>
      </c>
      <c r="J1377" s="126">
        <f t="shared" si="89"/>
        <v>4804.0600000000004</v>
      </c>
      <c r="K1377" s="94"/>
      <c r="M1377" s="95"/>
    </row>
    <row r="1378" spans="2:13" ht="22.5" outlineLevel="1" x14ac:dyDescent="0.2">
      <c r="B1378" s="92" t="s">
        <v>1358</v>
      </c>
      <c r="C1378" s="379" t="s">
        <v>1359</v>
      </c>
      <c r="D1378" s="369">
        <v>43830</v>
      </c>
      <c r="E1378" s="378">
        <v>30</v>
      </c>
      <c r="F1378" s="304"/>
      <c r="G1378" s="252">
        <v>16730.990000000002</v>
      </c>
      <c r="H1378" s="253"/>
      <c r="I1378" s="126">
        <f t="shared" si="88"/>
        <v>16730.990000000002</v>
      </c>
      <c r="J1378" s="126">
        <f t="shared" si="89"/>
        <v>16730.990000000002</v>
      </c>
      <c r="K1378" s="94"/>
      <c r="M1378" s="95"/>
    </row>
    <row r="1379" spans="2:13" ht="22.5" outlineLevel="1" x14ac:dyDescent="0.2">
      <c r="B1379" s="92" t="s">
        <v>1360</v>
      </c>
      <c r="C1379" s="379" t="s">
        <v>1308</v>
      </c>
      <c r="D1379" s="369">
        <v>43830</v>
      </c>
      <c r="E1379" s="378">
        <v>30</v>
      </c>
      <c r="F1379" s="304"/>
      <c r="G1379" s="252">
        <v>16731</v>
      </c>
      <c r="H1379" s="253"/>
      <c r="I1379" s="126">
        <f t="shared" si="88"/>
        <v>16731</v>
      </c>
      <c r="J1379" s="126">
        <f t="shared" si="89"/>
        <v>16731</v>
      </c>
      <c r="K1379" s="94"/>
      <c r="M1379" s="95"/>
    </row>
    <row r="1380" spans="2:13" ht="22.5" outlineLevel="1" x14ac:dyDescent="0.2">
      <c r="B1380" s="92" t="s">
        <v>1361</v>
      </c>
      <c r="C1380" s="379" t="s">
        <v>1362</v>
      </c>
      <c r="D1380" s="369">
        <v>43830</v>
      </c>
      <c r="E1380" s="378">
        <v>30</v>
      </c>
      <c r="F1380" s="304"/>
      <c r="G1380" s="252">
        <v>16550.11</v>
      </c>
      <c r="H1380" s="253"/>
      <c r="I1380" s="126">
        <f t="shared" si="88"/>
        <v>16550.11</v>
      </c>
      <c r="J1380" s="126">
        <f t="shared" si="89"/>
        <v>16550.11</v>
      </c>
      <c r="K1380" s="94"/>
      <c r="M1380" s="95"/>
    </row>
    <row r="1381" spans="2:13" outlineLevel="1" x14ac:dyDescent="0.2">
      <c r="B1381" s="92" t="s">
        <v>1363</v>
      </c>
      <c r="C1381" s="379" t="s">
        <v>1364</v>
      </c>
      <c r="D1381" s="369">
        <v>43830</v>
      </c>
      <c r="E1381" s="378">
        <v>30</v>
      </c>
      <c r="F1381" s="304"/>
      <c r="G1381" s="252">
        <v>11068.38</v>
      </c>
      <c r="H1381" s="253"/>
      <c r="I1381" s="126">
        <f t="shared" si="88"/>
        <v>11068.38</v>
      </c>
      <c r="J1381" s="126">
        <f t="shared" si="89"/>
        <v>11068.38</v>
      </c>
      <c r="K1381" s="94"/>
      <c r="M1381" s="95"/>
    </row>
    <row r="1382" spans="2:13" outlineLevel="1" x14ac:dyDescent="0.2">
      <c r="B1382" s="92" t="s">
        <v>1365</v>
      </c>
      <c r="C1382" s="379" t="s">
        <v>1262</v>
      </c>
      <c r="D1382" s="369">
        <v>43830</v>
      </c>
      <c r="E1382" s="378">
        <v>60</v>
      </c>
      <c r="F1382" s="254">
        <v>23797.38</v>
      </c>
      <c r="G1382" s="252">
        <v>8741.93</v>
      </c>
      <c r="H1382" s="253"/>
      <c r="I1382" s="126">
        <f t="shared" si="88"/>
        <v>32539.31</v>
      </c>
      <c r="J1382" s="126">
        <f t="shared" si="89"/>
        <v>32539.31</v>
      </c>
      <c r="K1382" s="94"/>
      <c r="M1382" s="95"/>
    </row>
    <row r="1383" spans="2:13" outlineLevel="1" x14ac:dyDescent="0.2">
      <c r="B1383" s="92" t="s">
        <v>1366</v>
      </c>
      <c r="C1383" s="341"/>
      <c r="D1383" s="369">
        <v>43830</v>
      </c>
      <c r="E1383" s="378"/>
      <c r="F1383" s="254">
        <v>26382.11</v>
      </c>
      <c r="G1383" s="252">
        <v>8741.93</v>
      </c>
      <c r="H1383" s="253"/>
      <c r="I1383" s="126">
        <f t="shared" si="88"/>
        <v>35124.04</v>
      </c>
      <c r="J1383" s="126">
        <f t="shared" si="89"/>
        <v>35124.04</v>
      </c>
      <c r="K1383" s="94"/>
      <c r="M1383" s="95"/>
    </row>
    <row r="1384" spans="2:13" outlineLevel="1" x14ac:dyDescent="0.2">
      <c r="B1384" s="92" t="s">
        <v>1367</v>
      </c>
      <c r="C1384" s="379" t="s">
        <v>1368</v>
      </c>
      <c r="D1384" s="369">
        <v>43830</v>
      </c>
      <c r="E1384" s="378">
        <v>30</v>
      </c>
      <c r="F1384" s="304"/>
      <c r="G1384" s="252">
        <v>7019.09</v>
      </c>
      <c r="H1384" s="253"/>
      <c r="I1384" s="126">
        <f t="shared" si="88"/>
        <v>7019.09</v>
      </c>
      <c r="J1384" s="126">
        <f t="shared" si="89"/>
        <v>7019.09</v>
      </c>
      <c r="K1384" s="94"/>
      <c r="M1384" s="95"/>
    </row>
    <row r="1385" spans="2:13" ht="22.5" outlineLevel="1" x14ac:dyDescent="0.2">
      <c r="B1385" s="92" t="s">
        <v>1369</v>
      </c>
      <c r="C1385" s="379" t="s">
        <v>1370</v>
      </c>
      <c r="D1385" s="369">
        <v>43830</v>
      </c>
      <c r="E1385" s="378">
        <v>30</v>
      </c>
      <c r="F1385" s="304"/>
      <c r="G1385" s="252">
        <v>8242.7099999999991</v>
      </c>
      <c r="H1385" s="253"/>
      <c r="I1385" s="126">
        <f t="shared" si="88"/>
        <v>8242.7099999999991</v>
      </c>
      <c r="J1385" s="126">
        <f t="shared" si="89"/>
        <v>8242.7099999999991</v>
      </c>
      <c r="K1385" s="94"/>
      <c r="M1385" s="95"/>
    </row>
    <row r="1386" spans="2:13" ht="22.5" outlineLevel="1" x14ac:dyDescent="0.2">
      <c r="B1386" s="92" t="s">
        <v>1371</v>
      </c>
      <c r="C1386" s="379" t="s">
        <v>1269</v>
      </c>
      <c r="D1386" s="369">
        <v>43830</v>
      </c>
      <c r="E1386" s="378">
        <v>30</v>
      </c>
      <c r="F1386" s="304"/>
      <c r="G1386" s="252">
        <v>16177.24</v>
      </c>
      <c r="H1386" s="253"/>
      <c r="I1386" s="126">
        <f t="shared" si="88"/>
        <v>16177.24</v>
      </c>
      <c r="J1386" s="126">
        <f t="shared" si="89"/>
        <v>16177.24</v>
      </c>
      <c r="K1386" s="94"/>
      <c r="M1386" s="95"/>
    </row>
    <row r="1387" spans="2:13" ht="22.5" outlineLevel="1" x14ac:dyDescent="0.2">
      <c r="B1387" s="92" t="s">
        <v>1372</v>
      </c>
      <c r="C1387" s="379" t="s">
        <v>1283</v>
      </c>
      <c r="D1387" s="369">
        <v>43830</v>
      </c>
      <c r="E1387" s="378">
        <v>30</v>
      </c>
      <c r="F1387" s="304"/>
      <c r="G1387" s="252">
        <v>2717.06</v>
      </c>
      <c r="H1387" s="253"/>
      <c r="I1387" s="126">
        <f t="shared" si="88"/>
        <v>2717.06</v>
      </c>
      <c r="J1387" s="126">
        <f t="shared" si="89"/>
        <v>2717.06</v>
      </c>
      <c r="K1387" s="94"/>
      <c r="M1387" s="95"/>
    </row>
    <row r="1388" spans="2:13" outlineLevel="1" x14ac:dyDescent="0.2">
      <c r="B1388" s="92" t="s">
        <v>1373</v>
      </c>
      <c r="C1388" s="379" t="s">
        <v>1374</v>
      </c>
      <c r="D1388" s="369">
        <v>43830</v>
      </c>
      <c r="E1388" s="378">
        <v>30</v>
      </c>
      <c r="F1388" s="304"/>
      <c r="G1388" s="252">
        <v>21671.77</v>
      </c>
      <c r="H1388" s="253"/>
      <c r="I1388" s="126">
        <f t="shared" si="88"/>
        <v>21671.77</v>
      </c>
      <c r="J1388" s="126">
        <f t="shared" si="89"/>
        <v>21671.77</v>
      </c>
      <c r="K1388" s="94"/>
      <c r="M1388" s="95"/>
    </row>
    <row r="1389" spans="2:13" ht="22.5" outlineLevel="1" x14ac:dyDescent="0.2">
      <c r="B1389" s="92" t="s">
        <v>1375</v>
      </c>
      <c r="C1389" s="379" t="s">
        <v>1376</v>
      </c>
      <c r="D1389" s="369">
        <v>43830</v>
      </c>
      <c r="E1389" s="378">
        <v>60</v>
      </c>
      <c r="F1389" s="254">
        <v>34685.839999999997</v>
      </c>
      <c r="G1389" s="252">
        <v>8097.82</v>
      </c>
      <c r="H1389" s="253"/>
      <c r="I1389" s="126">
        <f t="shared" si="88"/>
        <v>42783.659999999996</v>
      </c>
      <c r="J1389" s="126">
        <f t="shared" si="89"/>
        <v>42783.659999999996</v>
      </c>
      <c r="K1389" s="94"/>
      <c r="M1389" s="95"/>
    </row>
    <row r="1390" spans="2:13" outlineLevel="1" x14ac:dyDescent="0.2">
      <c r="B1390" s="92" t="s">
        <v>1377</v>
      </c>
      <c r="C1390" s="379" t="s">
        <v>1378</v>
      </c>
      <c r="D1390" s="369">
        <v>43830</v>
      </c>
      <c r="E1390" s="378">
        <v>60</v>
      </c>
      <c r="F1390" s="254">
        <v>3019.16</v>
      </c>
      <c r="G1390" s="252">
        <v>10777.76</v>
      </c>
      <c r="H1390" s="253"/>
      <c r="I1390" s="126">
        <f t="shared" si="88"/>
        <v>13796.92</v>
      </c>
      <c r="J1390" s="126">
        <f t="shared" si="89"/>
        <v>13796.92</v>
      </c>
      <c r="K1390" s="94"/>
      <c r="M1390" s="95"/>
    </row>
    <row r="1391" spans="2:13" ht="22.5" outlineLevel="1" x14ac:dyDescent="0.2">
      <c r="B1391" s="92" t="s">
        <v>1379</v>
      </c>
      <c r="C1391" s="379" t="s">
        <v>1380</v>
      </c>
      <c r="D1391" s="369">
        <v>43830</v>
      </c>
      <c r="E1391" s="378">
        <v>30</v>
      </c>
      <c r="F1391" s="304"/>
      <c r="G1391" s="252">
        <v>11532.85</v>
      </c>
      <c r="H1391" s="253"/>
      <c r="I1391" s="126">
        <f t="shared" si="88"/>
        <v>11532.85</v>
      </c>
      <c r="J1391" s="126">
        <f t="shared" si="89"/>
        <v>11532.85</v>
      </c>
      <c r="K1391" s="94"/>
      <c r="M1391" s="95"/>
    </row>
    <row r="1392" spans="2:13" outlineLevel="1" x14ac:dyDescent="0.2">
      <c r="B1392" s="92" t="s">
        <v>1381</v>
      </c>
      <c r="C1392" s="379" t="s">
        <v>1317</v>
      </c>
      <c r="D1392" s="369">
        <v>43830</v>
      </c>
      <c r="E1392" s="378">
        <v>60</v>
      </c>
      <c r="F1392" s="254">
        <v>29946.55</v>
      </c>
      <c r="G1392" s="252">
        <v>10989.44</v>
      </c>
      <c r="H1392" s="253"/>
      <c r="I1392" s="126">
        <f t="shared" si="88"/>
        <v>40935.99</v>
      </c>
      <c r="J1392" s="126">
        <f t="shared" si="89"/>
        <v>40935.99</v>
      </c>
      <c r="K1392" s="94"/>
      <c r="M1392" s="95"/>
    </row>
    <row r="1393" spans="2:13" outlineLevel="1" x14ac:dyDescent="0.2">
      <c r="B1393" s="92" t="s">
        <v>1382</v>
      </c>
      <c r="C1393" s="379" t="s">
        <v>1383</v>
      </c>
      <c r="D1393" s="369">
        <v>43830</v>
      </c>
      <c r="E1393" s="378">
        <v>60</v>
      </c>
      <c r="F1393" s="254">
        <v>52118.22</v>
      </c>
      <c r="G1393" s="252">
        <v>8741.93</v>
      </c>
      <c r="H1393" s="253"/>
      <c r="I1393" s="126">
        <f t="shared" si="88"/>
        <v>60860.15</v>
      </c>
      <c r="J1393" s="126">
        <f t="shared" si="89"/>
        <v>60860.15</v>
      </c>
      <c r="K1393" s="94"/>
      <c r="M1393" s="95"/>
    </row>
    <row r="1394" spans="2:13" outlineLevel="1" x14ac:dyDescent="0.2">
      <c r="B1394" s="92" t="s">
        <v>1384</v>
      </c>
      <c r="C1394" s="379" t="s">
        <v>1231</v>
      </c>
      <c r="D1394" s="369">
        <v>43830</v>
      </c>
      <c r="E1394" s="378">
        <v>60</v>
      </c>
      <c r="F1394" s="255">
        <v>3071.9</v>
      </c>
      <c r="G1394" s="252">
        <v>12888.41</v>
      </c>
      <c r="H1394" s="253"/>
      <c r="I1394" s="126">
        <f t="shared" si="88"/>
        <v>15960.31</v>
      </c>
      <c r="J1394" s="126">
        <f t="shared" si="89"/>
        <v>15960.31</v>
      </c>
      <c r="K1394" s="94"/>
      <c r="M1394" s="95"/>
    </row>
    <row r="1395" spans="2:13" outlineLevel="1" x14ac:dyDescent="0.2">
      <c r="B1395" s="92" t="s">
        <v>1385</v>
      </c>
      <c r="C1395" s="379" t="s">
        <v>1378</v>
      </c>
      <c r="D1395" s="369">
        <v>43830</v>
      </c>
      <c r="E1395" s="378">
        <v>60</v>
      </c>
      <c r="F1395" s="254">
        <v>27523.64</v>
      </c>
      <c r="G1395" s="252">
        <v>8741.93</v>
      </c>
      <c r="H1395" s="253"/>
      <c r="I1395" s="126">
        <f t="shared" si="88"/>
        <v>36265.57</v>
      </c>
      <c r="J1395" s="126">
        <f t="shared" si="89"/>
        <v>36265.57</v>
      </c>
      <c r="K1395" s="94"/>
      <c r="M1395" s="95"/>
    </row>
    <row r="1396" spans="2:13" outlineLevel="1" x14ac:dyDescent="0.2">
      <c r="B1396" s="92" t="s">
        <v>1386</v>
      </c>
      <c r="C1396" s="379" t="s">
        <v>1387</v>
      </c>
      <c r="D1396" s="369">
        <v>43830</v>
      </c>
      <c r="E1396" s="378">
        <v>32</v>
      </c>
      <c r="F1396" s="304"/>
      <c r="G1396" s="252">
        <v>7332.03</v>
      </c>
      <c r="H1396" s="253"/>
      <c r="I1396" s="126">
        <f t="shared" si="88"/>
        <v>7332.03</v>
      </c>
      <c r="J1396" s="126">
        <f t="shared" si="89"/>
        <v>7332.03</v>
      </c>
      <c r="K1396" s="94"/>
      <c r="M1396" s="95"/>
    </row>
    <row r="1397" spans="2:13" ht="22.5" outlineLevel="1" x14ac:dyDescent="0.2">
      <c r="B1397" s="92" t="s">
        <v>1388</v>
      </c>
      <c r="C1397" s="380">
        <v>43305</v>
      </c>
      <c r="D1397" s="369">
        <v>43830</v>
      </c>
      <c r="E1397" s="378">
        <v>35</v>
      </c>
      <c r="F1397" s="304"/>
      <c r="G1397" s="252">
        <v>22387.29</v>
      </c>
      <c r="H1397" s="253"/>
      <c r="I1397" s="126">
        <f t="shared" si="88"/>
        <v>22387.29</v>
      </c>
      <c r="J1397" s="126">
        <f t="shared" si="89"/>
        <v>22387.29</v>
      </c>
      <c r="K1397" s="94"/>
      <c r="M1397" s="95"/>
    </row>
    <row r="1398" spans="2:13" outlineLevel="1" x14ac:dyDescent="0.2">
      <c r="B1398" s="92" t="s">
        <v>1389</v>
      </c>
      <c r="C1398" s="380">
        <v>43362</v>
      </c>
      <c r="D1398" s="369">
        <v>43830</v>
      </c>
      <c r="E1398" s="378">
        <v>60</v>
      </c>
      <c r="F1398" s="255">
        <v>24728.2</v>
      </c>
      <c r="G1398" s="252">
        <v>10915.58</v>
      </c>
      <c r="H1398" s="253"/>
      <c r="I1398" s="126">
        <f t="shared" si="88"/>
        <v>35643.78</v>
      </c>
      <c r="J1398" s="126">
        <f t="shared" si="89"/>
        <v>35643.78</v>
      </c>
      <c r="K1398" s="94"/>
      <c r="M1398" s="95"/>
    </row>
    <row r="1399" spans="2:13" ht="22.5" outlineLevel="1" x14ac:dyDescent="0.2">
      <c r="B1399" s="92" t="s">
        <v>1390</v>
      </c>
      <c r="C1399" s="379" t="s">
        <v>1391</v>
      </c>
      <c r="D1399" s="369">
        <v>43830</v>
      </c>
      <c r="E1399" s="378">
        <v>40</v>
      </c>
      <c r="F1399" s="304"/>
      <c r="G1399" s="252">
        <v>2768.79</v>
      </c>
      <c r="H1399" s="253"/>
      <c r="I1399" s="126">
        <f t="shared" si="88"/>
        <v>2768.79</v>
      </c>
      <c r="J1399" s="126">
        <f t="shared" si="89"/>
        <v>2768.79</v>
      </c>
      <c r="K1399" s="94"/>
      <c r="M1399" s="95"/>
    </row>
    <row r="1400" spans="2:13" ht="22.5" outlineLevel="1" x14ac:dyDescent="0.2">
      <c r="B1400" s="92" t="s">
        <v>1392</v>
      </c>
      <c r="C1400" s="379" t="s">
        <v>1242</v>
      </c>
      <c r="D1400" s="369">
        <v>43830</v>
      </c>
      <c r="E1400" s="378">
        <v>80</v>
      </c>
      <c r="F1400" s="257">
        <v>37266</v>
      </c>
      <c r="G1400" s="252">
        <v>8849.09</v>
      </c>
      <c r="H1400" s="253"/>
      <c r="I1400" s="126">
        <f t="shared" si="88"/>
        <v>46115.09</v>
      </c>
      <c r="J1400" s="126">
        <f t="shared" si="89"/>
        <v>46115.09</v>
      </c>
      <c r="K1400" s="94"/>
      <c r="M1400" s="95"/>
    </row>
    <row r="1401" spans="2:13" ht="22.5" outlineLevel="1" x14ac:dyDescent="0.2">
      <c r="B1401" s="92" t="s">
        <v>1393</v>
      </c>
      <c r="C1401" s="379" t="s">
        <v>1242</v>
      </c>
      <c r="D1401" s="369">
        <v>43830</v>
      </c>
      <c r="E1401" s="378">
        <v>80</v>
      </c>
      <c r="F1401" s="257">
        <v>45711</v>
      </c>
      <c r="G1401" s="252">
        <v>8849.09</v>
      </c>
      <c r="H1401" s="253"/>
      <c r="I1401" s="126">
        <f t="shared" si="88"/>
        <v>54560.09</v>
      </c>
      <c r="J1401" s="126">
        <f t="shared" si="89"/>
        <v>54560.09</v>
      </c>
      <c r="K1401" s="94"/>
      <c r="M1401" s="95"/>
    </row>
    <row r="1402" spans="2:13" ht="22.5" outlineLevel="1" x14ac:dyDescent="0.2">
      <c r="B1402" s="92" t="s">
        <v>1394</v>
      </c>
      <c r="C1402" s="379" t="s">
        <v>1242</v>
      </c>
      <c r="D1402" s="369">
        <v>43830</v>
      </c>
      <c r="E1402" s="378">
        <v>70</v>
      </c>
      <c r="F1402" s="257">
        <v>39455</v>
      </c>
      <c r="G1402" s="252">
        <v>8849.09</v>
      </c>
      <c r="H1402" s="253"/>
      <c r="I1402" s="126">
        <f t="shared" si="88"/>
        <v>48304.09</v>
      </c>
      <c r="J1402" s="126">
        <f t="shared" si="89"/>
        <v>48304.09</v>
      </c>
      <c r="K1402" s="94"/>
      <c r="M1402" s="95"/>
    </row>
    <row r="1403" spans="2:13" ht="22.5" outlineLevel="1" x14ac:dyDescent="0.2">
      <c r="B1403" s="92" t="s">
        <v>1395</v>
      </c>
      <c r="C1403" s="379" t="s">
        <v>1279</v>
      </c>
      <c r="D1403" s="369">
        <v>43830</v>
      </c>
      <c r="E1403" s="378">
        <v>80</v>
      </c>
      <c r="F1403" s="257">
        <v>37457</v>
      </c>
      <c r="G1403" s="252">
        <v>8849.09</v>
      </c>
      <c r="H1403" s="253"/>
      <c r="I1403" s="126">
        <f t="shared" si="88"/>
        <v>46306.09</v>
      </c>
      <c r="J1403" s="126">
        <f t="shared" si="89"/>
        <v>46306.09</v>
      </c>
      <c r="K1403" s="94"/>
      <c r="M1403" s="95"/>
    </row>
    <row r="1404" spans="2:13" ht="22.5" outlineLevel="1" x14ac:dyDescent="0.2">
      <c r="B1404" s="92" t="s">
        <v>1396</v>
      </c>
      <c r="C1404" s="379" t="s">
        <v>1313</v>
      </c>
      <c r="D1404" s="369">
        <v>43830</v>
      </c>
      <c r="E1404" s="378">
        <v>80</v>
      </c>
      <c r="F1404" s="304"/>
      <c r="G1404" s="252">
        <v>8849.09</v>
      </c>
      <c r="H1404" s="253"/>
      <c r="I1404" s="126">
        <f t="shared" si="88"/>
        <v>8849.09</v>
      </c>
      <c r="J1404" s="126">
        <f t="shared" si="89"/>
        <v>8849.09</v>
      </c>
      <c r="K1404" s="94"/>
      <c r="M1404" s="95"/>
    </row>
    <row r="1405" spans="2:13" ht="22.5" outlineLevel="1" x14ac:dyDescent="0.2">
      <c r="B1405" s="92" t="s">
        <v>1397</v>
      </c>
      <c r="C1405" s="379" t="s">
        <v>1313</v>
      </c>
      <c r="D1405" s="369">
        <v>43830</v>
      </c>
      <c r="E1405" s="378">
        <v>80</v>
      </c>
      <c r="F1405" s="257">
        <v>37640</v>
      </c>
      <c r="G1405" s="252">
        <v>8849.09</v>
      </c>
      <c r="H1405" s="253"/>
      <c r="I1405" s="126">
        <f t="shared" si="88"/>
        <v>46489.09</v>
      </c>
      <c r="J1405" s="126">
        <f t="shared" si="89"/>
        <v>46489.09</v>
      </c>
      <c r="K1405" s="94"/>
      <c r="M1405" s="95"/>
    </row>
    <row r="1406" spans="2:13" ht="22.5" outlineLevel="1" x14ac:dyDescent="0.2">
      <c r="B1406" s="92" t="s">
        <v>1398</v>
      </c>
      <c r="C1406" s="379" t="s">
        <v>1279</v>
      </c>
      <c r="D1406" s="369">
        <v>43830</v>
      </c>
      <c r="E1406" s="378">
        <v>80</v>
      </c>
      <c r="F1406" s="257">
        <v>37640</v>
      </c>
      <c r="G1406" s="252">
        <v>8849.09</v>
      </c>
      <c r="H1406" s="253"/>
      <c r="I1406" s="126">
        <f t="shared" si="88"/>
        <v>46489.09</v>
      </c>
      <c r="J1406" s="126">
        <f t="shared" si="89"/>
        <v>46489.09</v>
      </c>
      <c r="K1406" s="94"/>
      <c r="M1406" s="95"/>
    </row>
    <row r="1407" spans="2:13" ht="22.5" outlineLevel="1" x14ac:dyDescent="0.2">
      <c r="B1407" s="92" t="s">
        <v>1399</v>
      </c>
      <c r="C1407" s="379" t="s">
        <v>1400</v>
      </c>
      <c r="D1407" s="369">
        <v>43830</v>
      </c>
      <c r="E1407" s="378">
        <v>80</v>
      </c>
      <c r="F1407" s="257">
        <v>37640</v>
      </c>
      <c r="G1407" s="252">
        <v>8849.09</v>
      </c>
      <c r="H1407" s="253"/>
      <c r="I1407" s="126">
        <f t="shared" si="88"/>
        <v>46489.09</v>
      </c>
      <c r="J1407" s="126">
        <f t="shared" si="89"/>
        <v>46489.09</v>
      </c>
      <c r="K1407" s="94"/>
      <c r="M1407" s="95"/>
    </row>
    <row r="1408" spans="2:13" outlineLevel="1" x14ac:dyDescent="0.2">
      <c r="B1408" s="92" t="s">
        <v>1401</v>
      </c>
      <c r="C1408" s="379" t="s">
        <v>1402</v>
      </c>
      <c r="D1408" s="369">
        <v>43830</v>
      </c>
      <c r="E1408" s="378">
        <v>60</v>
      </c>
      <c r="F1408" s="257">
        <v>38293</v>
      </c>
      <c r="G1408" s="252">
        <v>8849.09</v>
      </c>
      <c r="H1408" s="253"/>
      <c r="I1408" s="126">
        <f t="shared" si="88"/>
        <v>47142.09</v>
      </c>
      <c r="J1408" s="126">
        <f t="shared" si="89"/>
        <v>47142.09</v>
      </c>
      <c r="K1408" s="94"/>
      <c r="M1408" s="95"/>
    </row>
    <row r="1409" spans="2:13" outlineLevel="1" x14ac:dyDescent="0.2">
      <c r="B1409" s="92" t="s">
        <v>1403</v>
      </c>
      <c r="C1409" s="341"/>
      <c r="D1409" s="369">
        <v>43830</v>
      </c>
      <c r="E1409" s="378"/>
      <c r="F1409" s="254">
        <v>34635.040000000001</v>
      </c>
      <c r="G1409" s="252">
        <v>8722.8700000000008</v>
      </c>
      <c r="H1409" s="253"/>
      <c r="I1409" s="126">
        <f t="shared" si="88"/>
        <v>43357.91</v>
      </c>
      <c r="J1409" s="126">
        <f t="shared" si="89"/>
        <v>43357.91</v>
      </c>
      <c r="K1409" s="94"/>
      <c r="M1409" s="95"/>
    </row>
    <row r="1410" spans="2:13" outlineLevel="1" x14ac:dyDescent="0.2">
      <c r="B1410" s="92" t="s">
        <v>1404</v>
      </c>
      <c r="C1410" s="379" t="s">
        <v>1405</v>
      </c>
      <c r="D1410" s="369">
        <v>43830</v>
      </c>
      <c r="E1410" s="378">
        <v>30</v>
      </c>
      <c r="F1410" s="304"/>
      <c r="G1410" s="252">
        <v>11016.65</v>
      </c>
      <c r="H1410" s="253"/>
      <c r="I1410" s="126">
        <f t="shared" si="88"/>
        <v>11016.65</v>
      </c>
      <c r="J1410" s="126">
        <f t="shared" si="89"/>
        <v>11016.65</v>
      </c>
      <c r="K1410" s="94"/>
      <c r="M1410" s="95"/>
    </row>
    <row r="1411" spans="2:13" ht="22.5" outlineLevel="1" x14ac:dyDescent="0.2">
      <c r="B1411" s="92" t="s">
        <v>1406</v>
      </c>
      <c r="C1411" s="379" t="s">
        <v>1342</v>
      </c>
      <c r="D1411" s="369">
        <v>43830</v>
      </c>
      <c r="E1411" s="378">
        <v>60</v>
      </c>
      <c r="F1411" s="255">
        <v>32745.8</v>
      </c>
      <c r="G1411" s="252">
        <v>8815.7900000000009</v>
      </c>
      <c r="H1411" s="253"/>
      <c r="I1411" s="126">
        <f t="shared" si="88"/>
        <v>41561.589999999997</v>
      </c>
      <c r="J1411" s="126">
        <f t="shared" si="89"/>
        <v>41561.589999999997</v>
      </c>
      <c r="K1411" s="94"/>
      <c r="M1411" s="95"/>
    </row>
    <row r="1412" spans="2:13" ht="22.5" outlineLevel="1" x14ac:dyDescent="0.2">
      <c r="B1412" s="92" t="s">
        <v>1407</v>
      </c>
      <c r="C1412" s="379" t="s">
        <v>1408</v>
      </c>
      <c r="D1412" s="369">
        <v>43830</v>
      </c>
      <c r="E1412" s="378">
        <v>70</v>
      </c>
      <c r="F1412" s="257">
        <v>149634</v>
      </c>
      <c r="G1412" s="252">
        <v>6977.71</v>
      </c>
      <c r="H1412" s="253"/>
      <c r="I1412" s="126">
        <f t="shared" si="88"/>
        <v>156611.71</v>
      </c>
      <c r="J1412" s="126">
        <f t="shared" si="89"/>
        <v>156611.71</v>
      </c>
      <c r="K1412" s="94"/>
      <c r="M1412" s="95"/>
    </row>
    <row r="1413" spans="2:13" outlineLevel="1" x14ac:dyDescent="0.2">
      <c r="B1413" s="92" t="s">
        <v>1409</v>
      </c>
      <c r="C1413" s="379" t="s">
        <v>1242</v>
      </c>
      <c r="D1413" s="369">
        <v>43830</v>
      </c>
      <c r="E1413" s="378">
        <v>70</v>
      </c>
      <c r="F1413" s="257">
        <v>38293</v>
      </c>
      <c r="G1413" s="252">
        <v>8849.09</v>
      </c>
      <c r="H1413" s="253"/>
      <c r="I1413" s="126">
        <f t="shared" si="88"/>
        <v>47142.09</v>
      </c>
      <c r="J1413" s="126">
        <f t="shared" si="89"/>
        <v>47142.09</v>
      </c>
      <c r="K1413" s="94"/>
      <c r="M1413" s="95"/>
    </row>
    <row r="1414" spans="2:13" outlineLevel="1" x14ac:dyDescent="0.2">
      <c r="B1414" s="92" t="s">
        <v>1410</v>
      </c>
      <c r="C1414" s="379" t="s">
        <v>1376</v>
      </c>
      <c r="D1414" s="369">
        <v>43830</v>
      </c>
      <c r="E1414" s="378">
        <v>30</v>
      </c>
      <c r="F1414" s="304"/>
      <c r="G1414" s="252">
        <v>10789.23</v>
      </c>
      <c r="H1414" s="253"/>
      <c r="I1414" s="126">
        <f t="shared" si="88"/>
        <v>10789.23</v>
      </c>
      <c r="J1414" s="126">
        <f t="shared" si="89"/>
        <v>10789.23</v>
      </c>
      <c r="K1414" s="94"/>
      <c r="M1414" s="95"/>
    </row>
    <row r="1415" spans="2:13" outlineLevel="1" x14ac:dyDescent="0.2">
      <c r="B1415" s="92" t="s">
        <v>1411</v>
      </c>
      <c r="C1415" s="379" t="s">
        <v>1262</v>
      </c>
      <c r="D1415" s="369">
        <v>43830</v>
      </c>
      <c r="E1415" s="378">
        <v>30</v>
      </c>
      <c r="F1415" s="304"/>
      <c r="G1415" s="252">
        <v>8615.58</v>
      </c>
      <c r="H1415" s="253"/>
      <c r="I1415" s="126">
        <f t="shared" si="88"/>
        <v>8615.58</v>
      </c>
      <c r="J1415" s="126">
        <f t="shared" si="89"/>
        <v>8615.58</v>
      </c>
      <c r="K1415" s="94"/>
      <c r="M1415" s="95"/>
    </row>
    <row r="1416" spans="2:13" outlineLevel="1" x14ac:dyDescent="0.2">
      <c r="B1416" s="92" t="s">
        <v>1412</v>
      </c>
      <c r="C1416" s="379" t="s">
        <v>1376</v>
      </c>
      <c r="D1416" s="369">
        <v>43830</v>
      </c>
      <c r="E1416" s="378">
        <v>30</v>
      </c>
      <c r="F1416" s="304"/>
      <c r="G1416" s="252">
        <v>10789.23</v>
      </c>
      <c r="H1416" s="253"/>
      <c r="I1416" s="126">
        <f t="shared" si="88"/>
        <v>10789.23</v>
      </c>
      <c r="J1416" s="126">
        <f t="shared" si="89"/>
        <v>10789.23</v>
      </c>
      <c r="K1416" s="94"/>
      <c r="M1416" s="95"/>
    </row>
    <row r="1417" spans="2:13" outlineLevel="1" x14ac:dyDescent="0.2">
      <c r="B1417" s="92" t="s">
        <v>1413</v>
      </c>
      <c r="C1417" s="379" t="s">
        <v>1236</v>
      </c>
      <c r="D1417" s="369">
        <v>43830</v>
      </c>
      <c r="E1417" s="378">
        <v>30</v>
      </c>
      <c r="F1417" s="304"/>
      <c r="G1417" s="252">
        <v>8615.58</v>
      </c>
      <c r="H1417" s="253"/>
      <c r="I1417" s="126">
        <f t="shared" si="88"/>
        <v>8615.58</v>
      </c>
      <c r="J1417" s="126">
        <f t="shared" si="89"/>
        <v>8615.58</v>
      </c>
      <c r="K1417" s="94"/>
      <c r="M1417" s="95"/>
    </row>
    <row r="1418" spans="2:13" outlineLevel="1" x14ac:dyDescent="0.2">
      <c r="B1418" s="92" t="s">
        <v>1414</v>
      </c>
      <c r="C1418" s="379" t="s">
        <v>1415</v>
      </c>
      <c r="D1418" s="369">
        <v>43830</v>
      </c>
      <c r="E1418" s="378">
        <v>30</v>
      </c>
      <c r="F1418" s="304"/>
      <c r="G1418" s="252">
        <v>11332.64</v>
      </c>
      <c r="H1418" s="253"/>
      <c r="I1418" s="126">
        <f t="shared" si="88"/>
        <v>11332.64</v>
      </c>
      <c r="J1418" s="126">
        <f t="shared" si="89"/>
        <v>11332.64</v>
      </c>
      <c r="K1418" s="94"/>
      <c r="M1418" s="95"/>
    </row>
    <row r="1419" spans="2:13" outlineLevel="1" x14ac:dyDescent="0.2">
      <c r="B1419" s="92" t="s">
        <v>1416</v>
      </c>
      <c r="C1419" s="379" t="s">
        <v>1319</v>
      </c>
      <c r="D1419" s="369">
        <v>43830</v>
      </c>
      <c r="E1419" s="378">
        <v>30</v>
      </c>
      <c r="F1419" s="304"/>
      <c r="G1419" s="252">
        <v>8615.58</v>
      </c>
      <c r="H1419" s="253"/>
      <c r="I1419" s="126">
        <f t="shared" si="88"/>
        <v>8615.58</v>
      </c>
      <c r="J1419" s="126">
        <f t="shared" si="89"/>
        <v>8615.58</v>
      </c>
      <c r="K1419" s="94"/>
      <c r="M1419" s="95"/>
    </row>
    <row r="1420" spans="2:13" outlineLevel="1" x14ac:dyDescent="0.2">
      <c r="B1420" s="92" t="s">
        <v>1417</v>
      </c>
      <c r="C1420" s="379" t="s">
        <v>1418</v>
      </c>
      <c r="D1420" s="369">
        <v>43830</v>
      </c>
      <c r="E1420" s="378">
        <v>60</v>
      </c>
      <c r="F1420" s="257">
        <v>37656</v>
      </c>
      <c r="G1420" s="252">
        <v>8849.09</v>
      </c>
      <c r="H1420" s="253"/>
      <c r="I1420" s="126">
        <f t="shared" si="88"/>
        <v>46505.09</v>
      </c>
      <c r="J1420" s="126">
        <f t="shared" si="89"/>
        <v>46505.09</v>
      </c>
      <c r="K1420" s="94"/>
      <c r="M1420" s="95"/>
    </row>
    <row r="1421" spans="2:13" ht="22.5" outlineLevel="1" x14ac:dyDescent="0.2">
      <c r="B1421" s="92" t="s">
        <v>1419</v>
      </c>
      <c r="C1421" s="379" t="s">
        <v>1215</v>
      </c>
      <c r="D1421" s="369">
        <v>43830</v>
      </c>
      <c r="E1421" s="378">
        <v>30</v>
      </c>
      <c r="F1421" s="304"/>
      <c r="G1421" s="252">
        <v>11297.76</v>
      </c>
      <c r="H1421" s="253"/>
      <c r="I1421" s="126">
        <f t="shared" si="88"/>
        <v>11297.76</v>
      </c>
      <c r="J1421" s="126">
        <f t="shared" si="89"/>
        <v>11297.76</v>
      </c>
      <c r="K1421" s="94"/>
      <c r="M1421" s="95"/>
    </row>
    <row r="1422" spans="2:13" outlineLevel="1" x14ac:dyDescent="0.2">
      <c r="B1422" s="92" t="s">
        <v>1420</v>
      </c>
      <c r="C1422" s="379" t="s">
        <v>1421</v>
      </c>
      <c r="D1422" s="369">
        <v>43830</v>
      </c>
      <c r="E1422" s="378">
        <v>30</v>
      </c>
      <c r="F1422" s="304"/>
      <c r="G1422" s="252">
        <v>8615.58</v>
      </c>
      <c r="H1422" s="253"/>
      <c r="I1422" s="126">
        <f t="shared" si="88"/>
        <v>8615.58</v>
      </c>
      <c r="J1422" s="126">
        <f t="shared" si="89"/>
        <v>8615.58</v>
      </c>
      <c r="K1422" s="94"/>
      <c r="M1422" s="95"/>
    </row>
    <row r="1423" spans="2:13" outlineLevel="1" x14ac:dyDescent="0.2">
      <c r="B1423" s="92" t="s">
        <v>1422</v>
      </c>
      <c r="C1423" s="341"/>
      <c r="D1423" s="369">
        <v>43830</v>
      </c>
      <c r="E1423" s="378"/>
      <c r="F1423" s="254">
        <v>27645.58</v>
      </c>
      <c r="G1423" s="252">
        <v>8615.58</v>
      </c>
      <c r="H1423" s="253"/>
      <c r="I1423" s="126">
        <f t="shared" si="88"/>
        <v>36261.160000000003</v>
      </c>
      <c r="J1423" s="126">
        <f t="shared" si="89"/>
        <v>36261.160000000003</v>
      </c>
      <c r="K1423" s="94"/>
      <c r="M1423" s="95"/>
    </row>
    <row r="1424" spans="2:13" ht="22.5" outlineLevel="1" x14ac:dyDescent="0.2">
      <c r="B1424" s="92" t="s">
        <v>1423</v>
      </c>
      <c r="C1424" s="379" t="s">
        <v>1424</v>
      </c>
      <c r="D1424" s="369">
        <v>43830</v>
      </c>
      <c r="E1424" s="378">
        <v>70</v>
      </c>
      <c r="F1424" s="254">
        <v>39686.870000000003</v>
      </c>
      <c r="G1424" s="252">
        <v>8615.58</v>
      </c>
      <c r="H1424" s="253"/>
      <c r="I1424" s="126">
        <f t="shared" si="88"/>
        <v>48302.450000000004</v>
      </c>
      <c r="J1424" s="126">
        <f t="shared" si="89"/>
        <v>48302.450000000004</v>
      </c>
      <c r="K1424" s="94"/>
      <c r="M1424" s="95"/>
    </row>
    <row r="1425" spans="2:13" outlineLevel="1" x14ac:dyDescent="0.2">
      <c r="B1425" s="92" t="s">
        <v>1425</v>
      </c>
      <c r="C1425" s="379" t="s">
        <v>1313</v>
      </c>
      <c r="D1425" s="369">
        <v>43830</v>
      </c>
      <c r="E1425" s="378">
        <v>30</v>
      </c>
      <c r="F1425" s="304"/>
      <c r="G1425" s="252">
        <v>8615.58</v>
      </c>
      <c r="H1425" s="253"/>
      <c r="I1425" s="126">
        <f t="shared" si="88"/>
        <v>8615.58</v>
      </c>
      <c r="J1425" s="126">
        <f t="shared" si="89"/>
        <v>8615.58</v>
      </c>
      <c r="K1425" s="94"/>
      <c r="M1425" s="95"/>
    </row>
    <row r="1426" spans="2:13" outlineLevel="1" x14ac:dyDescent="0.2">
      <c r="B1426" s="92" t="s">
        <v>1426</v>
      </c>
      <c r="C1426" s="379" t="s">
        <v>1427</v>
      </c>
      <c r="D1426" s="369">
        <v>43830</v>
      </c>
      <c r="E1426" s="378">
        <v>30</v>
      </c>
      <c r="F1426" s="304"/>
      <c r="G1426" s="252">
        <v>2042.78</v>
      </c>
      <c r="H1426" s="253"/>
      <c r="I1426" s="126">
        <f t="shared" si="88"/>
        <v>2042.78</v>
      </c>
      <c r="J1426" s="126">
        <f t="shared" si="89"/>
        <v>2042.78</v>
      </c>
      <c r="K1426" s="94"/>
      <c r="M1426" s="95"/>
    </row>
    <row r="1427" spans="2:13" ht="22.5" outlineLevel="1" x14ac:dyDescent="0.2">
      <c r="B1427" s="92" t="s">
        <v>1428</v>
      </c>
      <c r="C1427" s="379" t="s">
        <v>1376</v>
      </c>
      <c r="D1427" s="369">
        <v>43830</v>
      </c>
      <c r="E1427" s="378">
        <v>30</v>
      </c>
      <c r="F1427" s="304"/>
      <c r="G1427" s="252">
        <v>2042.78</v>
      </c>
      <c r="H1427" s="253"/>
      <c r="I1427" s="126">
        <f t="shared" si="88"/>
        <v>2042.78</v>
      </c>
      <c r="J1427" s="126">
        <f t="shared" si="89"/>
        <v>2042.78</v>
      </c>
      <c r="K1427" s="94"/>
      <c r="M1427" s="95"/>
    </row>
    <row r="1428" spans="2:13" outlineLevel="1" x14ac:dyDescent="0.2">
      <c r="B1428" s="92" t="s">
        <v>1429</v>
      </c>
      <c r="C1428" s="379" t="s">
        <v>1304</v>
      </c>
      <c r="D1428" s="369">
        <v>43830</v>
      </c>
      <c r="E1428" s="378">
        <v>30</v>
      </c>
      <c r="F1428" s="304"/>
      <c r="G1428" s="252">
        <v>2042.78</v>
      </c>
      <c r="H1428" s="253"/>
      <c r="I1428" s="126">
        <f t="shared" si="88"/>
        <v>2042.78</v>
      </c>
      <c r="J1428" s="126">
        <f t="shared" si="89"/>
        <v>2042.78</v>
      </c>
      <c r="K1428" s="94"/>
      <c r="M1428" s="95"/>
    </row>
    <row r="1429" spans="2:13" outlineLevel="1" x14ac:dyDescent="0.2">
      <c r="B1429" s="92" t="s">
        <v>1430</v>
      </c>
      <c r="C1429" s="379" t="s">
        <v>1342</v>
      </c>
      <c r="D1429" s="369">
        <v>43830</v>
      </c>
      <c r="E1429" s="378">
        <v>30</v>
      </c>
      <c r="F1429" s="304"/>
      <c r="G1429" s="252">
        <v>11075.08</v>
      </c>
      <c r="H1429" s="253"/>
      <c r="I1429" s="126">
        <f t="shared" si="88"/>
        <v>11075.08</v>
      </c>
      <c r="J1429" s="126">
        <f t="shared" si="89"/>
        <v>11075.08</v>
      </c>
      <c r="K1429" s="94"/>
      <c r="M1429" s="95"/>
    </row>
    <row r="1430" spans="2:13" ht="22.5" outlineLevel="1" x14ac:dyDescent="0.2">
      <c r="B1430" s="92" t="s">
        <v>1431</v>
      </c>
      <c r="C1430" s="379" t="s">
        <v>1432</v>
      </c>
      <c r="D1430" s="369">
        <v>43830</v>
      </c>
      <c r="E1430" s="378">
        <v>30</v>
      </c>
      <c r="F1430" s="304"/>
      <c r="G1430" s="252">
        <v>16794.580000000002</v>
      </c>
      <c r="H1430" s="253"/>
      <c r="I1430" s="126">
        <f t="shared" ref="I1430:I1493" si="90">F1430+G1430+H1430</f>
        <v>16794.580000000002</v>
      </c>
      <c r="J1430" s="126">
        <f t="shared" ref="J1430:J1493" si="91">I1430</f>
        <v>16794.580000000002</v>
      </c>
      <c r="K1430" s="94"/>
      <c r="M1430" s="95"/>
    </row>
    <row r="1431" spans="2:13" ht="22.5" outlineLevel="1" x14ac:dyDescent="0.2">
      <c r="B1431" s="92" t="s">
        <v>1433</v>
      </c>
      <c r="C1431" s="379" t="s">
        <v>1434</v>
      </c>
      <c r="D1431" s="369">
        <v>43830</v>
      </c>
      <c r="E1431" s="378">
        <v>30</v>
      </c>
      <c r="F1431" s="304"/>
      <c r="G1431" s="252">
        <v>2768.79</v>
      </c>
      <c r="H1431" s="253"/>
      <c r="I1431" s="126">
        <f t="shared" si="90"/>
        <v>2768.79</v>
      </c>
      <c r="J1431" s="126">
        <f t="shared" si="91"/>
        <v>2768.79</v>
      </c>
      <c r="K1431" s="94"/>
      <c r="M1431" s="95"/>
    </row>
    <row r="1432" spans="2:13" outlineLevel="1" x14ac:dyDescent="0.2">
      <c r="B1432" s="92" t="s">
        <v>1435</v>
      </c>
      <c r="C1432" s="379" t="s">
        <v>1236</v>
      </c>
      <c r="D1432" s="369">
        <v>43830</v>
      </c>
      <c r="E1432" s="378">
        <v>30</v>
      </c>
      <c r="F1432" s="304"/>
      <c r="G1432" s="252">
        <v>8741.93</v>
      </c>
      <c r="H1432" s="253"/>
      <c r="I1432" s="126">
        <f t="shared" si="90"/>
        <v>8741.93</v>
      </c>
      <c r="J1432" s="126">
        <f t="shared" si="91"/>
        <v>8741.93</v>
      </c>
      <c r="K1432" s="94"/>
      <c r="M1432" s="95"/>
    </row>
    <row r="1433" spans="2:13" ht="22.5" outlineLevel="1" x14ac:dyDescent="0.2">
      <c r="B1433" s="92" t="s">
        <v>1436</v>
      </c>
      <c r="C1433" s="379" t="s">
        <v>1349</v>
      </c>
      <c r="D1433" s="369">
        <v>43830</v>
      </c>
      <c r="E1433" s="378">
        <v>30</v>
      </c>
      <c r="F1433" s="304"/>
      <c r="G1433" s="252">
        <v>8586.9500000000007</v>
      </c>
      <c r="H1433" s="253"/>
      <c r="I1433" s="126">
        <f t="shared" si="90"/>
        <v>8586.9500000000007</v>
      </c>
      <c r="J1433" s="126">
        <f t="shared" si="91"/>
        <v>8586.9500000000007</v>
      </c>
      <c r="K1433" s="94"/>
      <c r="M1433" s="95"/>
    </row>
    <row r="1434" spans="2:13" outlineLevel="1" x14ac:dyDescent="0.2">
      <c r="B1434" s="92" t="s">
        <v>1437</v>
      </c>
      <c r="C1434" s="379" t="s">
        <v>1304</v>
      </c>
      <c r="D1434" s="369">
        <v>43830</v>
      </c>
      <c r="E1434" s="378">
        <v>30</v>
      </c>
      <c r="F1434" s="304"/>
      <c r="G1434" s="252">
        <v>8586.9500000000007</v>
      </c>
      <c r="H1434" s="253"/>
      <c r="I1434" s="126">
        <f t="shared" si="90"/>
        <v>8586.9500000000007</v>
      </c>
      <c r="J1434" s="126">
        <f t="shared" si="91"/>
        <v>8586.9500000000007</v>
      </c>
      <c r="K1434" s="94"/>
      <c r="M1434" s="95"/>
    </row>
    <row r="1435" spans="2:13" outlineLevel="1" x14ac:dyDescent="0.2">
      <c r="B1435" s="92" t="s">
        <v>1438</v>
      </c>
      <c r="C1435" s="379" t="s">
        <v>1402</v>
      </c>
      <c r="D1435" s="369">
        <v>43830</v>
      </c>
      <c r="E1435" s="378">
        <v>60</v>
      </c>
      <c r="F1435" s="254">
        <v>39041.82</v>
      </c>
      <c r="G1435" s="252">
        <v>10956.96</v>
      </c>
      <c r="H1435" s="253"/>
      <c r="I1435" s="126">
        <f t="shared" si="90"/>
        <v>49998.78</v>
      </c>
      <c r="J1435" s="126">
        <f t="shared" si="91"/>
        <v>49998.78</v>
      </c>
      <c r="K1435" s="94"/>
      <c r="M1435" s="95"/>
    </row>
    <row r="1436" spans="2:13" ht="22.5" outlineLevel="1" x14ac:dyDescent="0.2">
      <c r="B1436" s="92" t="s">
        <v>1439</v>
      </c>
      <c r="C1436" s="379" t="s">
        <v>1440</v>
      </c>
      <c r="D1436" s="369">
        <v>43830</v>
      </c>
      <c r="E1436" s="378">
        <v>30</v>
      </c>
      <c r="F1436" s="304"/>
      <c r="G1436" s="252">
        <v>17481.080000000002</v>
      </c>
      <c r="H1436" s="253"/>
      <c r="I1436" s="126">
        <f t="shared" si="90"/>
        <v>17481.080000000002</v>
      </c>
      <c r="J1436" s="126">
        <f t="shared" si="91"/>
        <v>17481.080000000002</v>
      </c>
      <c r="K1436" s="94"/>
      <c r="M1436" s="95"/>
    </row>
    <row r="1437" spans="2:13" outlineLevel="1" x14ac:dyDescent="0.2">
      <c r="B1437" s="92" t="s">
        <v>1441</v>
      </c>
      <c r="C1437" s="379" t="s">
        <v>1383</v>
      </c>
      <c r="D1437" s="369">
        <v>43830</v>
      </c>
      <c r="E1437" s="378">
        <v>30</v>
      </c>
      <c r="F1437" s="304"/>
      <c r="G1437" s="252">
        <v>7284.77</v>
      </c>
      <c r="H1437" s="253"/>
      <c r="I1437" s="126">
        <f t="shared" si="90"/>
        <v>7284.77</v>
      </c>
      <c r="J1437" s="126">
        <f t="shared" si="91"/>
        <v>7284.77</v>
      </c>
      <c r="K1437" s="94"/>
      <c r="M1437" s="95"/>
    </row>
    <row r="1438" spans="2:13" outlineLevel="1" x14ac:dyDescent="0.2">
      <c r="B1438" s="92" t="s">
        <v>1442</v>
      </c>
      <c r="C1438" s="379" t="s">
        <v>1308</v>
      </c>
      <c r="D1438" s="369">
        <v>43830</v>
      </c>
      <c r="E1438" s="378">
        <v>30</v>
      </c>
      <c r="F1438" s="304"/>
      <c r="G1438" s="252">
        <v>5111.12</v>
      </c>
      <c r="H1438" s="253"/>
      <c r="I1438" s="126">
        <f t="shared" si="90"/>
        <v>5111.12</v>
      </c>
      <c r="J1438" s="126">
        <f t="shared" si="91"/>
        <v>5111.12</v>
      </c>
      <c r="K1438" s="94"/>
      <c r="M1438" s="95"/>
    </row>
    <row r="1439" spans="2:13" ht="22.5" outlineLevel="1" x14ac:dyDescent="0.2">
      <c r="B1439" s="92" t="s">
        <v>1443</v>
      </c>
      <c r="C1439" s="379" t="s">
        <v>1215</v>
      </c>
      <c r="D1439" s="369">
        <v>43830</v>
      </c>
      <c r="E1439" s="378">
        <v>30</v>
      </c>
      <c r="F1439" s="304"/>
      <c r="G1439" s="252">
        <v>7326.27</v>
      </c>
      <c r="H1439" s="253"/>
      <c r="I1439" s="126">
        <f t="shared" si="90"/>
        <v>7326.27</v>
      </c>
      <c r="J1439" s="126">
        <f t="shared" si="91"/>
        <v>7326.27</v>
      </c>
      <c r="K1439" s="94"/>
      <c r="M1439" s="95"/>
    </row>
    <row r="1440" spans="2:13" outlineLevel="1" x14ac:dyDescent="0.2">
      <c r="B1440" s="92" t="s">
        <v>1444</v>
      </c>
      <c r="C1440" s="379" t="s">
        <v>1246</v>
      </c>
      <c r="D1440" s="369">
        <v>43830</v>
      </c>
      <c r="E1440" s="378">
        <v>60</v>
      </c>
      <c r="F1440" s="254">
        <v>31607.16</v>
      </c>
      <c r="G1440" s="252">
        <v>8722.8700000000008</v>
      </c>
      <c r="H1440" s="253"/>
      <c r="I1440" s="126">
        <f t="shared" si="90"/>
        <v>40330.03</v>
      </c>
      <c r="J1440" s="126">
        <f t="shared" si="91"/>
        <v>40330.03</v>
      </c>
      <c r="K1440" s="94"/>
      <c r="M1440" s="95"/>
    </row>
    <row r="1441" spans="2:13" ht="22.5" outlineLevel="1" x14ac:dyDescent="0.2">
      <c r="B1441" s="92" t="s">
        <v>1445</v>
      </c>
      <c r="C1441" s="379" t="s">
        <v>1446</v>
      </c>
      <c r="D1441" s="369">
        <v>43830</v>
      </c>
      <c r="E1441" s="378">
        <v>50</v>
      </c>
      <c r="F1441" s="254">
        <v>28773.21</v>
      </c>
      <c r="G1441" s="252">
        <v>10937.9</v>
      </c>
      <c r="H1441" s="253"/>
      <c r="I1441" s="126">
        <f t="shared" si="90"/>
        <v>39711.11</v>
      </c>
      <c r="J1441" s="126">
        <f t="shared" si="91"/>
        <v>39711.11</v>
      </c>
      <c r="K1441" s="94"/>
      <c r="M1441" s="95"/>
    </row>
    <row r="1442" spans="2:13" ht="22.5" outlineLevel="1" x14ac:dyDescent="0.2">
      <c r="B1442" s="92" t="s">
        <v>1447</v>
      </c>
      <c r="C1442" s="375" t="s">
        <v>1448</v>
      </c>
      <c r="D1442" s="369">
        <v>43830</v>
      </c>
      <c r="E1442" s="378">
        <v>60</v>
      </c>
      <c r="F1442" s="254">
        <v>31633.43</v>
      </c>
      <c r="G1442" s="252">
        <v>3404.61</v>
      </c>
      <c r="H1442" s="253"/>
      <c r="I1442" s="126">
        <f t="shared" si="90"/>
        <v>35038.04</v>
      </c>
      <c r="J1442" s="126">
        <f t="shared" si="91"/>
        <v>35038.04</v>
      </c>
      <c r="K1442" s="94"/>
      <c r="M1442" s="95"/>
    </row>
    <row r="1443" spans="2:13" outlineLevel="1" x14ac:dyDescent="0.2">
      <c r="B1443" s="92" t="s">
        <v>1449</v>
      </c>
      <c r="C1443" s="375" t="s">
        <v>1450</v>
      </c>
      <c r="D1443" s="369">
        <v>43830</v>
      </c>
      <c r="E1443" s="378">
        <v>30</v>
      </c>
      <c r="F1443" s="304"/>
      <c r="G1443" s="252">
        <v>3404.61</v>
      </c>
      <c r="H1443" s="253"/>
      <c r="I1443" s="126">
        <f t="shared" si="90"/>
        <v>3404.61</v>
      </c>
      <c r="J1443" s="126">
        <f t="shared" si="91"/>
        <v>3404.61</v>
      </c>
      <c r="K1443" s="94"/>
      <c r="M1443" s="95"/>
    </row>
    <row r="1444" spans="2:13" outlineLevel="1" x14ac:dyDescent="0.2">
      <c r="B1444" s="92" t="s">
        <v>1451</v>
      </c>
      <c r="C1444" s="375" t="s">
        <v>1452</v>
      </c>
      <c r="D1444" s="369">
        <v>43830</v>
      </c>
      <c r="E1444" s="378">
        <v>30</v>
      </c>
      <c r="F1444" s="304"/>
      <c r="G1444" s="252">
        <v>4257.8100000000004</v>
      </c>
      <c r="H1444" s="253"/>
      <c r="I1444" s="126">
        <f t="shared" si="90"/>
        <v>4257.8100000000004</v>
      </c>
      <c r="J1444" s="126">
        <f t="shared" si="91"/>
        <v>4257.8100000000004</v>
      </c>
      <c r="K1444" s="94"/>
      <c r="M1444" s="95"/>
    </row>
    <row r="1445" spans="2:13" outlineLevel="1" x14ac:dyDescent="0.2">
      <c r="B1445" s="92" t="s">
        <v>1453</v>
      </c>
      <c r="C1445" s="341"/>
      <c r="D1445" s="369">
        <v>43830</v>
      </c>
      <c r="E1445" s="378"/>
      <c r="F1445" s="304"/>
      <c r="G1445" s="252">
        <v>8586.9500000000007</v>
      </c>
      <c r="H1445" s="253"/>
      <c r="I1445" s="126">
        <f t="shared" si="90"/>
        <v>8586.9500000000007</v>
      </c>
      <c r="J1445" s="126">
        <f t="shared" si="91"/>
        <v>8586.9500000000007</v>
      </c>
      <c r="K1445" s="94"/>
      <c r="M1445" s="95"/>
    </row>
    <row r="1446" spans="2:13" ht="22.5" outlineLevel="1" x14ac:dyDescent="0.2">
      <c r="B1446" s="92" t="s">
        <v>1454</v>
      </c>
      <c r="C1446" s="375" t="s">
        <v>1455</v>
      </c>
      <c r="D1446" s="369">
        <v>43830</v>
      </c>
      <c r="E1446" s="378">
        <v>80</v>
      </c>
      <c r="F1446" s="257">
        <v>40831</v>
      </c>
      <c r="G1446" s="252">
        <v>2042.77</v>
      </c>
      <c r="H1446" s="253"/>
      <c r="I1446" s="126">
        <f t="shared" si="90"/>
        <v>42873.77</v>
      </c>
      <c r="J1446" s="126">
        <f t="shared" si="91"/>
        <v>42873.77</v>
      </c>
      <c r="K1446" s="94"/>
      <c r="M1446" s="95"/>
    </row>
    <row r="1447" spans="2:13" ht="22.5" outlineLevel="1" x14ac:dyDescent="0.2">
      <c r="B1447" s="92" t="s">
        <v>1456</v>
      </c>
      <c r="C1447" s="375" t="s">
        <v>1457</v>
      </c>
      <c r="D1447" s="369">
        <v>43830</v>
      </c>
      <c r="E1447" s="378">
        <v>80</v>
      </c>
      <c r="F1447" s="257">
        <v>44301</v>
      </c>
      <c r="G1447" s="252">
        <v>2042.77</v>
      </c>
      <c r="H1447" s="253"/>
      <c r="I1447" s="126">
        <f t="shared" si="90"/>
        <v>46343.77</v>
      </c>
      <c r="J1447" s="126">
        <f t="shared" si="91"/>
        <v>46343.77</v>
      </c>
      <c r="K1447" s="94"/>
      <c r="M1447" s="95"/>
    </row>
    <row r="1448" spans="2:13" ht="22.5" outlineLevel="1" x14ac:dyDescent="0.2">
      <c r="B1448" s="92" t="s">
        <v>1458</v>
      </c>
      <c r="C1448" s="375" t="s">
        <v>1215</v>
      </c>
      <c r="D1448" s="369">
        <v>43830</v>
      </c>
      <c r="E1448" s="378">
        <v>80</v>
      </c>
      <c r="F1448" s="257">
        <v>45941</v>
      </c>
      <c r="G1448" s="252">
        <v>2042.77</v>
      </c>
      <c r="H1448" s="253"/>
      <c r="I1448" s="126">
        <f t="shared" si="90"/>
        <v>47983.77</v>
      </c>
      <c r="J1448" s="126">
        <f t="shared" si="91"/>
        <v>47983.77</v>
      </c>
      <c r="K1448" s="94"/>
      <c r="M1448" s="95"/>
    </row>
    <row r="1449" spans="2:13" ht="22.5" outlineLevel="1" x14ac:dyDescent="0.2">
      <c r="B1449" s="92" t="s">
        <v>1459</v>
      </c>
      <c r="C1449" s="375" t="s">
        <v>1215</v>
      </c>
      <c r="D1449" s="369">
        <v>43830</v>
      </c>
      <c r="E1449" s="378">
        <v>80</v>
      </c>
      <c r="F1449" s="257">
        <v>45941</v>
      </c>
      <c r="G1449" s="252">
        <v>2042.77</v>
      </c>
      <c r="H1449" s="253"/>
      <c r="I1449" s="126">
        <f t="shared" si="90"/>
        <v>47983.77</v>
      </c>
      <c r="J1449" s="126">
        <f t="shared" si="91"/>
        <v>47983.77</v>
      </c>
      <c r="K1449" s="94"/>
      <c r="M1449" s="95"/>
    </row>
    <row r="1450" spans="2:13" outlineLevel="1" x14ac:dyDescent="0.2">
      <c r="B1450" s="92" t="s">
        <v>1460</v>
      </c>
      <c r="C1450" s="375" t="s">
        <v>1319</v>
      </c>
      <c r="D1450" s="369">
        <v>43830</v>
      </c>
      <c r="E1450" s="378">
        <v>80</v>
      </c>
      <c r="F1450" s="257">
        <v>42088</v>
      </c>
      <c r="G1450" s="252">
        <v>2042.77</v>
      </c>
      <c r="H1450" s="253"/>
      <c r="I1450" s="126">
        <f t="shared" si="90"/>
        <v>44130.77</v>
      </c>
      <c r="J1450" s="126">
        <f t="shared" si="91"/>
        <v>44130.77</v>
      </c>
      <c r="K1450" s="94"/>
      <c r="M1450" s="95"/>
    </row>
    <row r="1451" spans="2:13" outlineLevel="1" x14ac:dyDescent="0.2">
      <c r="B1451" s="92" t="s">
        <v>1461</v>
      </c>
      <c r="C1451" s="375" t="s">
        <v>1306</v>
      </c>
      <c r="D1451" s="369">
        <v>43830</v>
      </c>
      <c r="E1451" s="378">
        <v>80</v>
      </c>
      <c r="F1451" s="257">
        <v>41269</v>
      </c>
      <c r="G1451" s="252">
        <v>4216.42</v>
      </c>
      <c r="H1451" s="253"/>
      <c r="I1451" s="126">
        <f t="shared" si="90"/>
        <v>45485.42</v>
      </c>
      <c r="J1451" s="126">
        <f t="shared" si="91"/>
        <v>45485.42</v>
      </c>
      <c r="K1451" s="94"/>
      <c r="M1451" s="95"/>
    </row>
    <row r="1452" spans="2:13" outlineLevel="1" x14ac:dyDescent="0.2">
      <c r="B1452" s="92" t="s">
        <v>1462</v>
      </c>
      <c r="C1452" s="375" t="s">
        <v>1262</v>
      </c>
      <c r="D1452" s="369">
        <v>43830</v>
      </c>
      <c r="E1452" s="378">
        <v>80</v>
      </c>
      <c r="F1452" s="254">
        <v>41546.01</v>
      </c>
      <c r="G1452" s="252">
        <v>2042.77</v>
      </c>
      <c r="H1452" s="253"/>
      <c r="I1452" s="126">
        <f t="shared" si="90"/>
        <v>43588.78</v>
      </c>
      <c r="J1452" s="126">
        <f t="shared" si="91"/>
        <v>43588.78</v>
      </c>
      <c r="K1452" s="94"/>
      <c r="M1452" s="95"/>
    </row>
    <row r="1453" spans="2:13" ht="22.5" outlineLevel="1" x14ac:dyDescent="0.2">
      <c r="B1453" s="92" t="s">
        <v>1463</v>
      </c>
      <c r="C1453" s="375" t="s">
        <v>1215</v>
      </c>
      <c r="D1453" s="369">
        <v>43830</v>
      </c>
      <c r="E1453" s="378">
        <v>80</v>
      </c>
      <c r="F1453" s="257">
        <v>47597</v>
      </c>
      <c r="G1453" s="252">
        <v>2042.77</v>
      </c>
      <c r="H1453" s="253"/>
      <c r="I1453" s="126">
        <f t="shared" si="90"/>
        <v>49639.77</v>
      </c>
      <c r="J1453" s="126">
        <f t="shared" si="91"/>
        <v>49639.77</v>
      </c>
      <c r="K1453" s="94"/>
      <c r="M1453" s="95"/>
    </row>
    <row r="1454" spans="2:13" ht="22.5" outlineLevel="1" x14ac:dyDescent="0.2">
      <c r="B1454" s="92" t="s">
        <v>1464</v>
      </c>
      <c r="C1454" s="375" t="s">
        <v>1242</v>
      </c>
      <c r="D1454" s="369">
        <v>43830</v>
      </c>
      <c r="E1454" s="378">
        <v>80</v>
      </c>
      <c r="F1454" s="304"/>
      <c r="G1454" s="252">
        <v>2042.77</v>
      </c>
      <c r="H1454" s="253"/>
      <c r="I1454" s="126">
        <f t="shared" si="90"/>
        <v>2042.77</v>
      </c>
      <c r="J1454" s="126">
        <f t="shared" si="91"/>
        <v>2042.77</v>
      </c>
      <c r="K1454" s="94"/>
      <c r="M1454" s="95"/>
    </row>
    <row r="1455" spans="2:13" ht="22.5" outlineLevel="1" x14ac:dyDescent="0.2">
      <c r="B1455" s="92" t="s">
        <v>1465</v>
      </c>
      <c r="C1455" s="375" t="s">
        <v>1405</v>
      </c>
      <c r="D1455" s="369">
        <v>43830</v>
      </c>
      <c r="E1455" s="378">
        <v>80</v>
      </c>
      <c r="F1455" s="304"/>
      <c r="G1455" s="252">
        <v>2042.77</v>
      </c>
      <c r="H1455" s="253"/>
      <c r="I1455" s="126">
        <f t="shared" si="90"/>
        <v>2042.77</v>
      </c>
      <c r="J1455" s="126">
        <f t="shared" si="91"/>
        <v>2042.77</v>
      </c>
      <c r="K1455" s="94"/>
      <c r="M1455" s="95"/>
    </row>
    <row r="1456" spans="2:13" ht="22.5" outlineLevel="1" x14ac:dyDescent="0.2">
      <c r="B1456" s="92" t="s">
        <v>1466</v>
      </c>
      <c r="C1456" s="375" t="s">
        <v>1405</v>
      </c>
      <c r="D1456" s="369">
        <v>43830</v>
      </c>
      <c r="E1456" s="378">
        <v>80</v>
      </c>
      <c r="F1456" s="304"/>
      <c r="G1456" s="252">
        <v>2042.77</v>
      </c>
      <c r="H1456" s="253"/>
      <c r="I1456" s="126">
        <f t="shared" si="90"/>
        <v>2042.77</v>
      </c>
      <c r="J1456" s="126">
        <f t="shared" si="91"/>
        <v>2042.77</v>
      </c>
      <c r="K1456" s="94"/>
      <c r="M1456" s="95"/>
    </row>
    <row r="1457" spans="2:13" ht="22.5" outlineLevel="1" x14ac:dyDescent="0.2">
      <c r="B1457" s="92" t="s">
        <v>1467</v>
      </c>
      <c r="C1457" s="375" t="s">
        <v>1468</v>
      </c>
      <c r="D1457" s="369">
        <v>43830</v>
      </c>
      <c r="E1457" s="378">
        <v>80</v>
      </c>
      <c r="F1457" s="304"/>
      <c r="G1457" s="252">
        <v>2042.77</v>
      </c>
      <c r="H1457" s="253"/>
      <c r="I1457" s="126">
        <f t="shared" si="90"/>
        <v>2042.77</v>
      </c>
      <c r="J1457" s="126">
        <f t="shared" si="91"/>
        <v>2042.77</v>
      </c>
      <c r="K1457" s="94"/>
      <c r="M1457" s="95"/>
    </row>
    <row r="1458" spans="2:13" outlineLevel="1" x14ac:dyDescent="0.2">
      <c r="B1458" s="92" t="s">
        <v>1469</v>
      </c>
      <c r="C1458" s="375" t="s">
        <v>1470</v>
      </c>
      <c r="D1458" s="369">
        <v>43830</v>
      </c>
      <c r="E1458" s="378">
        <v>80</v>
      </c>
      <c r="F1458" s="304"/>
      <c r="G1458" s="252">
        <v>2042.77</v>
      </c>
      <c r="H1458" s="253"/>
      <c r="I1458" s="126">
        <f t="shared" si="90"/>
        <v>2042.77</v>
      </c>
      <c r="J1458" s="126">
        <f t="shared" si="91"/>
        <v>2042.77</v>
      </c>
      <c r="K1458" s="94"/>
      <c r="M1458" s="95"/>
    </row>
    <row r="1459" spans="2:13" ht="22.5" outlineLevel="1" x14ac:dyDescent="0.2">
      <c r="B1459" s="92" t="s">
        <v>1471</v>
      </c>
      <c r="C1459" s="375" t="s">
        <v>1242</v>
      </c>
      <c r="D1459" s="369">
        <v>43830</v>
      </c>
      <c r="E1459" s="378">
        <v>80</v>
      </c>
      <c r="F1459" s="304"/>
      <c r="G1459" s="252">
        <v>2042.77</v>
      </c>
      <c r="H1459" s="253"/>
      <c r="I1459" s="126">
        <f t="shared" si="90"/>
        <v>2042.77</v>
      </c>
      <c r="J1459" s="126">
        <f t="shared" si="91"/>
        <v>2042.77</v>
      </c>
      <c r="K1459" s="94"/>
      <c r="M1459" s="95"/>
    </row>
    <row r="1460" spans="2:13" outlineLevel="1" x14ac:dyDescent="0.2">
      <c r="B1460" s="92" t="s">
        <v>1472</v>
      </c>
      <c r="C1460" s="375" t="s">
        <v>1215</v>
      </c>
      <c r="D1460" s="369">
        <v>43830</v>
      </c>
      <c r="E1460" s="378">
        <v>80</v>
      </c>
      <c r="F1460" s="304"/>
      <c r="G1460" s="252">
        <v>2042.77</v>
      </c>
      <c r="H1460" s="253"/>
      <c r="I1460" s="126">
        <f t="shared" si="90"/>
        <v>2042.77</v>
      </c>
      <c r="J1460" s="126">
        <f t="shared" si="91"/>
        <v>2042.77</v>
      </c>
      <c r="K1460" s="94"/>
      <c r="M1460" s="95"/>
    </row>
    <row r="1461" spans="2:13" ht="22.5" outlineLevel="1" x14ac:dyDescent="0.2">
      <c r="B1461" s="92" t="s">
        <v>1473</v>
      </c>
      <c r="C1461" s="375" t="s">
        <v>1474</v>
      </c>
      <c r="D1461" s="369">
        <v>43830</v>
      </c>
      <c r="E1461" s="378">
        <v>80</v>
      </c>
      <c r="F1461" s="257">
        <v>60241</v>
      </c>
      <c r="G1461" s="252">
        <v>8833.33</v>
      </c>
      <c r="H1461" s="253"/>
      <c r="I1461" s="126">
        <f t="shared" si="90"/>
        <v>69074.33</v>
      </c>
      <c r="J1461" s="126">
        <f t="shared" si="91"/>
        <v>69074.33</v>
      </c>
      <c r="K1461" s="94"/>
      <c r="M1461" s="95"/>
    </row>
    <row r="1462" spans="2:13" ht="22.5" outlineLevel="1" x14ac:dyDescent="0.2">
      <c r="B1462" s="92" t="s">
        <v>1475</v>
      </c>
      <c r="C1462" s="375" t="s">
        <v>1240</v>
      </c>
      <c r="D1462" s="369">
        <v>43830</v>
      </c>
      <c r="E1462" s="378">
        <v>30</v>
      </c>
      <c r="F1462" s="304"/>
      <c r="G1462" s="252">
        <v>8535.0400000000009</v>
      </c>
      <c r="H1462" s="253"/>
      <c r="I1462" s="126">
        <f t="shared" si="90"/>
        <v>8535.0400000000009</v>
      </c>
      <c r="J1462" s="126">
        <f t="shared" si="91"/>
        <v>8535.0400000000009</v>
      </c>
      <c r="K1462" s="94"/>
      <c r="M1462" s="95"/>
    </row>
    <row r="1463" spans="2:13" ht="22.5" outlineLevel="1" x14ac:dyDescent="0.2">
      <c r="B1463" s="92" t="s">
        <v>1476</v>
      </c>
      <c r="C1463" s="375" t="s">
        <v>1477</v>
      </c>
      <c r="D1463" s="369">
        <v>43830</v>
      </c>
      <c r="E1463" s="378">
        <v>60</v>
      </c>
      <c r="F1463" s="254">
        <v>1242.69</v>
      </c>
      <c r="G1463" s="252">
        <v>8535.0400000000009</v>
      </c>
      <c r="H1463" s="253"/>
      <c r="I1463" s="126">
        <f t="shared" si="90"/>
        <v>9777.7300000000014</v>
      </c>
      <c r="J1463" s="126">
        <f t="shared" si="91"/>
        <v>9777.7300000000014</v>
      </c>
      <c r="K1463" s="94"/>
      <c r="M1463" s="95"/>
    </row>
    <row r="1464" spans="2:13" outlineLevel="1" x14ac:dyDescent="0.2">
      <c r="B1464" s="92" t="s">
        <v>1478</v>
      </c>
      <c r="C1464" s="375" t="s">
        <v>1321</v>
      </c>
      <c r="D1464" s="369">
        <v>43830</v>
      </c>
      <c r="E1464" s="378">
        <v>30</v>
      </c>
      <c r="F1464" s="304"/>
      <c r="G1464" s="252">
        <v>16469.57</v>
      </c>
      <c r="H1464" s="253"/>
      <c r="I1464" s="126">
        <f t="shared" si="90"/>
        <v>16469.57</v>
      </c>
      <c r="J1464" s="126">
        <f t="shared" si="91"/>
        <v>16469.57</v>
      </c>
      <c r="K1464" s="94"/>
      <c r="M1464" s="95"/>
    </row>
    <row r="1465" spans="2:13" outlineLevel="1" x14ac:dyDescent="0.2">
      <c r="B1465" s="92" t="s">
        <v>1479</v>
      </c>
      <c r="C1465" s="375" t="s">
        <v>1480</v>
      </c>
      <c r="D1465" s="369">
        <v>43830</v>
      </c>
      <c r="E1465" s="378">
        <v>30</v>
      </c>
      <c r="F1465" s="304"/>
      <c r="G1465" s="252">
        <v>8535.0400000000009</v>
      </c>
      <c r="H1465" s="253"/>
      <c r="I1465" s="126">
        <f t="shared" si="90"/>
        <v>8535.0400000000009</v>
      </c>
      <c r="J1465" s="126">
        <f t="shared" si="91"/>
        <v>8535.0400000000009</v>
      </c>
      <c r="K1465" s="94"/>
      <c r="M1465" s="95"/>
    </row>
    <row r="1466" spans="2:13" ht="22.5" outlineLevel="1" x14ac:dyDescent="0.2">
      <c r="B1466" s="92" t="s">
        <v>1481</v>
      </c>
      <c r="C1466" s="375" t="s">
        <v>1482</v>
      </c>
      <c r="D1466" s="369">
        <v>43830</v>
      </c>
      <c r="E1466" s="378">
        <v>30</v>
      </c>
      <c r="F1466" s="304"/>
      <c r="G1466" s="252">
        <v>8535.0400000000009</v>
      </c>
      <c r="H1466" s="253"/>
      <c r="I1466" s="126">
        <f t="shared" si="90"/>
        <v>8535.0400000000009</v>
      </c>
      <c r="J1466" s="126">
        <f t="shared" si="91"/>
        <v>8535.0400000000009</v>
      </c>
      <c r="K1466" s="94"/>
      <c r="M1466" s="95"/>
    </row>
    <row r="1467" spans="2:13" ht="22.5" outlineLevel="1" x14ac:dyDescent="0.2">
      <c r="B1467" s="92" t="s">
        <v>1483</v>
      </c>
      <c r="C1467" s="375" t="s">
        <v>1325</v>
      </c>
      <c r="D1467" s="369">
        <v>43830</v>
      </c>
      <c r="E1467" s="378">
        <v>30</v>
      </c>
      <c r="F1467" s="304"/>
      <c r="G1467" s="252">
        <v>8535.0400000000009</v>
      </c>
      <c r="H1467" s="253"/>
      <c r="I1467" s="126">
        <f t="shared" si="90"/>
        <v>8535.0400000000009</v>
      </c>
      <c r="J1467" s="126">
        <f t="shared" si="91"/>
        <v>8535.0400000000009</v>
      </c>
      <c r="K1467" s="94"/>
      <c r="M1467" s="95"/>
    </row>
    <row r="1468" spans="2:13" ht="22.5" outlineLevel="1" x14ac:dyDescent="0.2">
      <c r="B1468" s="92" t="s">
        <v>1484</v>
      </c>
      <c r="C1468" s="375" t="s">
        <v>1485</v>
      </c>
      <c r="D1468" s="369">
        <v>43830</v>
      </c>
      <c r="E1468" s="378">
        <v>30</v>
      </c>
      <c r="F1468" s="304"/>
      <c r="G1468" s="252">
        <v>8535.0400000000009</v>
      </c>
      <c r="H1468" s="253"/>
      <c r="I1468" s="126">
        <f t="shared" si="90"/>
        <v>8535.0400000000009</v>
      </c>
      <c r="J1468" s="126">
        <f t="shared" si="91"/>
        <v>8535.0400000000009</v>
      </c>
      <c r="K1468" s="94"/>
      <c r="M1468" s="95"/>
    </row>
    <row r="1469" spans="2:13" ht="22.5" outlineLevel="1" x14ac:dyDescent="0.2">
      <c r="B1469" s="92" t="s">
        <v>1486</v>
      </c>
      <c r="C1469" s="375" t="s">
        <v>1482</v>
      </c>
      <c r="D1469" s="369">
        <v>43830</v>
      </c>
      <c r="E1469" s="378">
        <v>30</v>
      </c>
      <c r="F1469" s="304"/>
      <c r="G1469" s="252">
        <v>8535.0400000000009</v>
      </c>
      <c r="H1469" s="253"/>
      <c r="I1469" s="126">
        <f t="shared" si="90"/>
        <v>8535.0400000000009</v>
      </c>
      <c r="J1469" s="126">
        <f t="shared" si="91"/>
        <v>8535.0400000000009</v>
      </c>
      <c r="K1469" s="94"/>
      <c r="M1469" s="95"/>
    </row>
    <row r="1470" spans="2:13" ht="22.5" outlineLevel="1" x14ac:dyDescent="0.2">
      <c r="B1470" s="92" t="s">
        <v>1487</v>
      </c>
      <c r="C1470" s="375" t="s">
        <v>1488</v>
      </c>
      <c r="D1470" s="369">
        <v>43830</v>
      </c>
      <c r="E1470" s="378">
        <v>30</v>
      </c>
      <c r="F1470" s="304"/>
      <c r="G1470" s="252">
        <v>8535.0400000000009</v>
      </c>
      <c r="H1470" s="253"/>
      <c r="I1470" s="126">
        <f t="shared" si="90"/>
        <v>8535.0400000000009</v>
      </c>
      <c r="J1470" s="126">
        <f t="shared" si="91"/>
        <v>8535.0400000000009</v>
      </c>
      <c r="K1470" s="94"/>
      <c r="M1470" s="95"/>
    </row>
    <row r="1471" spans="2:13" ht="22.5" outlineLevel="1" x14ac:dyDescent="0.2">
      <c r="B1471" s="92" t="s">
        <v>1489</v>
      </c>
      <c r="C1471" s="375" t="s">
        <v>1482</v>
      </c>
      <c r="D1471" s="369">
        <v>43830</v>
      </c>
      <c r="E1471" s="378">
        <v>30</v>
      </c>
      <c r="F1471" s="304"/>
      <c r="G1471" s="252">
        <v>8535.0400000000009</v>
      </c>
      <c r="H1471" s="253"/>
      <c r="I1471" s="126">
        <f t="shared" si="90"/>
        <v>8535.0400000000009</v>
      </c>
      <c r="J1471" s="126">
        <f t="shared" si="91"/>
        <v>8535.0400000000009</v>
      </c>
      <c r="K1471" s="94"/>
      <c r="M1471" s="95"/>
    </row>
    <row r="1472" spans="2:13" outlineLevel="1" x14ac:dyDescent="0.2">
      <c r="B1472" s="92" t="s">
        <v>1490</v>
      </c>
      <c r="C1472" s="375" t="s">
        <v>1427</v>
      </c>
      <c r="D1472" s="369">
        <v>43830</v>
      </c>
      <c r="E1472" s="378">
        <v>30</v>
      </c>
      <c r="F1472" s="304"/>
      <c r="G1472" s="252">
        <v>14607.9</v>
      </c>
      <c r="H1472" s="253"/>
      <c r="I1472" s="126">
        <f t="shared" si="90"/>
        <v>14607.9</v>
      </c>
      <c r="J1472" s="126">
        <f t="shared" si="91"/>
        <v>14607.9</v>
      </c>
      <c r="K1472" s="94"/>
      <c r="M1472" s="95"/>
    </row>
    <row r="1473" spans="2:13" outlineLevel="1" x14ac:dyDescent="0.2">
      <c r="B1473" s="96" t="s">
        <v>1491</v>
      </c>
      <c r="C1473" s="375" t="s">
        <v>1492</v>
      </c>
      <c r="D1473" s="369">
        <v>43830</v>
      </c>
      <c r="E1473" s="381">
        <v>30</v>
      </c>
      <c r="F1473" s="306"/>
      <c r="G1473" s="258">
        <v>8299.59</v>
      </c>
      <c r="H1473" s="259"/>
      <c r="I1473" s="127">
        <f t="shared" si="90"/>
        <v>8299.59</v>
      </c>
      <c r="J1473" s="127">
        <f t="shared" si="91"/>
        <v>8299.59</v>
      </c>
      <c r="K1473" s="97"/>
      <c r="M1473" s="98"/>
    </row>
    <row r="1474" spans="2:13" outlineLevel="1" x14ac:dyDescent="0.2">
      <c r="B1474" s="92" t="s">
        <v>1493</v>
      </c>
      <c r="C1474" s="375" t="s">
        <v>1482</v>
      </c>
      <c r="D1474" s="369">
        <v>43830</v>
      </c>
      <c r="E1474" s="378">
        <v>30</v>
      </c>
      <c r="F1474" s="304"/>
      <c r="G1474" s="252">
        <v>8299.59</v>
      </c>
      <c r="H1474" s="252"/>
      <c r="I1474" s="126">
        <f t="shared" si="90"/>
        <v>8299.59</v>
      </c>
      <c r="J1474" s="126">
        <f t="shared" si="91"/>
        <v>8299.59</v>
      </c>
      <c r="K1474" s="94"/>
      <c r="M1474" s="95"/>
    </row>
    <row r="1475" spans="2:13" outlineLevel="1" x14ac:dyDescent="0.2">
      <c r="B1475" s="92" t="s">
        <v>1494</v>
      </c>
      <c r="C1475" s="375" t="s">
        <v>1482</v>
      </c>
      <c r="D1475" s="369">
        <v>43830</v>
      </c>
      <c r="E1475" s="378">
        <v>30</v>
      </c>
      <c r="F1475" s="304"/>
      <c r="G1475" s="252">
        <v>8299.59</v>
      </c>
      <c r="H1475" s="252"/>
      <c r="I1475" s="126">
        <f t="shared" si="90"/>
        <v>8299.59</v>
      </c>
      <c r="J1475" s="126">
        <f t="shared" si="91"/>
        <v>8299.59</v>
      </c>
      <c r="K1475" s="94"/>
      <c r="M1475" s="95"/>
    </row>
    <row r="1476" spans="2:13" outlineLevel="1" x14ac:dyDescent="0.2">
      <c r="B1476" s="92" t="s">
        <v>1495</v>
      </c>
      <c r="C1476" s="341"/>
      <c r="D1476" s="369">
        <v>43830</v>
      </c>
      <c r="E1476" s="378"/>
      <c r="F1476" s="304"/>
      <c r="G1476" s="252">
        <v>8490.7900000000009</v>
      </c>
      <c r="H1476" s="252"/>
      <c r="I1476" s="126">
        <f t="shared" si="90"/>
        <v>8490.7900000000009</v>
      </c>
      <c r="J1476" s="126">
        <f t="shared" si="91"/>
        <v>8490.7900000000009</v>
      </c>
      <c r="K1476" s="94"/>
      <c r="M1476" s="95"/>
    </row>
    <row r="1477" spans="2:13" outlineLevel="1" x14ac:dyDescent="0.2">
      <c r="B1477" s="92" t="s">
        <v>1496</v>
      </c>
      <c r="C1477" s="375" t="s">
        <v>1376</v>
      </c>
      <c r="D1477" s="369">
        <v>43830</v>
      </c>
      <c r="E1477" s="378">
        <v>30</v>
      </c>
      <c r="F1477" s="304"/>
      <c r="G1477" s="252">
        <v>8490.7900000000009</v>
      </c>
      <c r="H1477" s="252"/>
      <c r="I1477" s="126">
        <f t="shared" si="90"/>
        <v>8490.7900000000009</v>
      </c>
      <c r="J1477" s="126">
        <f t="shared" si="91"/>
        <v>8490.7900000000009</v>
      </c>
      <c r="K1477" s="94"/>
      <c r="M1477" s="95"/>
    </row>
    <row r="1478" spans="2:13" outlineLevel="1" x14ac:dyDescent="0.2">
      <c r="B1478" s="92" t="s">
        <v>1497</v>
      </c>
      <c r="C1478" s="375" t="s">
        <v>1376</v>
      </c>
      <c r="D1478" s="369">
        <v>43830</v>
      </c>
      <c r="E1478" s="378">
        <v>30</v>
      </c>
      <c r="F1478" s="304"/>
      <c r="G1478" s="252">
        <v>8490.7900000000009</v>
      </c>
      <c r="H1478" s="252"/>
      <c r="I1478" s="126">
        <f t="shared" si="90"/>
        <v>8490.7900000000009</v>
      </c>
      <c r="J1478" s="126">
        <f t="shared" si="91"/>
        <v>8490.7900000000009</v>
      </c>
      <c r="K1478" s="94"/>
      <c r="M1478" s="95"/>
    </row>
    <row r="1479" spans="2:13" outlineLevel="1" x14ac:dyDescent="0.2">
      <c r="B1479" s="92" t="s">
        <v>1498</v>
      </c>
      <c r="C1479" s="375" t="s">
        <v>1304</v>
      </c>
      <c r="D1479" s="369">
        <v>43830</v>
      </c>
      <c r="E1479" s="378">
        <v>30</v>
      </c>
      <c r="F1479" s="304"/>
      <c r="G1479" s="252">
        <v>8490.7900000000009</v>
      </c>
      <c r="H1479" s="252"/>
      <c r="I1479" s="126">
        <f t="shared" si="90"/>
        <v>8490.7900000000009</v>
      </c>
      <c r="J1479" s="126">
        <f t="shared" si="91"/>
        <v>8490.7900000000009</v>
      </c>
      <c r="K1479" s="94"/>
      <c r="M1479" s="95"/>
    </row>
    <row r="1480" spans="2:13" outlineLevel="1" x14ac:dyDescent="0.2">
      <c r="B1480" s="92" t="s">
        <v>1499</v>
      </c>
      <c r="C1480" s="375" t="s">
        <v>1327</v>
      </c>
      <c r="D1480" s="369">
        <v>43830</v>
      </c>
      <c r="E1480" s="378">
        <v>30</v>
      </c>
      <c r="F1480" s="304"/>
      <c r="G1480" s="252">
        <v>8490.7900000000009</v>
      </c>
      <c r="H1480" s="252"/>
      <c r="I1480" s="126">
        <f t="shared" si="90"/>
        <v>8490.7900000000009</v>
      </c>
      <c r="J1480" s="126">
        <f t="shared" si="91"/>
        <v>8490.7900000000009</v>
      </c>
      <c r="K1480" s="94"/>
      <c r="M1480" s="95"/>
    </row>
    <row r="1481" spans="2:13" outlineLevel="1" x14ac:dyDescent="0.2">
      <c r="B1481" s="92" t="s">
        <v>1500</v>
      </c>
      <c r="C1481" s="375" t="s">
        <v>1405</v>
      </c>
      <c r="D1481" s="369">
        <v>43830</v>
      </c>
      <c r="E1481" s="378">
        <v>30</v>
      </c>
      <c r="F1481" s="304"/>
      <c r="G1481" s="252">
        <v>8490.7900000000009</v>
      </c>
      <c r="H1481" s="252"/>
      <c r="I1481" s="126">
        <f t="shared" si="90"/>
        <v>8490.7900000000009</v>
      </c>
      <c r="J1481" s="126">
        <f t="shared" si="91"/>
        <v>8490.7900000000009</v>
      </c>
      <c r="K1481" s="94"/>
      <c r="M1481" s="95"/>
    </row>
    <row r="1482" spans="2:13" outlineLevel="1" x14ac:dyDescent="0.2">
      <c r="B1482" s="92" t="s">
        <v>1501</v>
      </c>
      <c r="C1482" s="375" t="s">
        <v>1262</v>
      </c>
      <c r="D1482" s="369">
        <v>43830</v>
      </c>
      <c r="E1482" s="378">
        <v>30</v>
      </c>
      <c r="F1482" s="304"/>
      <c r="G1482" s="252">
        <v>8716.1</v>
      </c>
      <c r="H1482" s="252"/>
      <c r="I1482" s="126">
        <f t="shared" si="90"/>
        <v>8716.1</v>
      </c>
      <c r="J1482" s="126">
        <f t="shared" si="91"/>
        <v>8716.1</v>
      </c>
      <c r="K1482" s="94"/>
      <c r="M1482" s="95"/>
    </row>
    <row r="1483" spans="2:13" outlineLevel="1" x14ac:dyDescent="0.2">
      <c r="B1483" s="92" t="s">
        <v>1502</v>
      </c>
      <c r="C1483" s="375" t="s">
        <v>1503</v>
      </c>
      <c r="D1483" s="369">
        <v>43830</v>
      </c>
      <c r="E1483" s="378">
        <v>30</v>
      </c>
      <c r="F1483" s="304"/>
      <c r="G1483" s="252">
        <v>8716.1</v>
      </c>
      <c r="H1483" s="252"/>
      <c r="I1483" s="126">
        <f t="shared" si="90"/>
        <v>8716.1</v>
      </c>
      <c r="J1483" s="126">
        <f t="shared" si="91"/>
        <v>8716.1</v>
      </c>
      <c r="K1483" s="94"/>
      <c r="M1483" s="95"/>
    </row>
    <row r="1484" spans="2:13" outlineLevel="1" x14ac:dyDescent="0.2">
      <c r="B1484" s="92" t="s">
        <v>1504</v>
      </c>
      <c r="C1484" s="375" t="s">
        <v>1505</v>
      </c>
      <c r="D1484" s="369">
        <v>43830</v>
      </c>
      <c r="E1484" s="378">
        <v>30</v>
      </c>
      <c r="F1484" s="304"/>
      <c r="G1484" s="252">
        <v>15045.32</v>
      </c>
      <c r="H1484" s="252"/>
      <c r="I1484" s="126">
        <f t="shared" si="90"/>
        <v>15045.32</v>
      </c>
      <c r="J1484" s="126">
        <f t="shared" si="91"/>
        <v>15045.32</v>
      </c>
      <c r="K1484" s="94"/>
      <c r="M1484" s="95"/>
    </row>
    <row r="1485" spans="2:13" outlineLevel="1" x14ac:dyDescent="0.2">
      <c r="B1485" s="92" t="s">
        <v>1506</v>
      </c>
      <c r="C1485" s="375" t="s">
        <v>1507</v>
      </c>
      <c r="D1485" s="369">
        <v>43830</v>
      </c>
      <c r="E1485" s="378">
        <v>30</v>
      </c>
      <c r="F1485" s="304"/>
      <c r="G1485" s="252">
        <v>5149.75</v>
      </c>
      <c r="H1485" s="252"/>
      <c r="I1485" s="126">
        <f t="shared" si="90"/>
        <v>5149.75</v>
      </c>
      <c r="J1485" s="126">
        <f t="shared" si="91"/>
        <v>5149.75</v>
      </c>
      <c r="K1485" s="94"/>
      <c r="M1485" s="95"/>
    </row>
    <row r="1486" spans="2:13" ht="22.5" outlineLevel="1" x14ac:dyDescent="0.2">
      <c r="B1486" s="92" t="s">
        <v>1508</v>
      </c>
      <c r="C1486" s="375" t="s">
        <v>1509</v>
      </c>
      <c r="D1486" s="369">
        <v>43830</v>
      </c>
      <c r="E1486" s="378">
        <v>30</v>
      </c>
      <c r="F1486" s="304"/>
      <c r="G1486" s="252">
        <v>5915.31</v>
      </c>
      <c r="H1486" s="252"/>
      <c r="I1486" s="126">
        <f t="shared" si="90"/>
        <v>5915.31</v>
      </c>
      <c r="J1486" s="126">
        <f t="shared" si="91"/>
        <v>5915.31</v>
      </c>
      <c r="K1486" s="94"/>
      <c r="M1486" s="95"/>
    </row>
    <row r="1487" spans="2:13" outlineLevel="1" x14ac:dyDescent="0.2">
      <c r="B1487" s="92" t="s">
        <v>1510</v>
      </c>
      <c r="C1487" s="375" t="s">
        <v>1231</v>
      </c>
      <c r="D1487" s="369">
        <v>43830</v>
      </c>
      <c r="E1487" s="378">
        <v>30</v>
      </c>
      <c r="F1487" s="304"/>
      <c r="G1487" s="252">
        <v>2717.06</v>
      </c>
      <c r="H1487" s="252"/>
      <c r="I1487" s="126">
        <f t="shared" si="90"/>
        <v>2717.06</v>
      </c>
      <c r="J1487" s="126">
        <f t="shared" si="91"/>
        <v>2717.06</v>
      </c>
      <c r="K1487" s="94"/>
      <c r="M1487" s="95"/>
    </row>
    <row r="1488" spans="2:13" outlineLevel="1" x14ac:dyDescent="0.2">
      <c r="B1488" s="92" t="s">
        <v>1511</v>
      </c>
      <c r="C1488" s="375" t="s">
        <v>1290</v>
      </c>
      <c r="D1488" s="369">
        <v>43830</v>
      </c>
      <c r="E1488" s="378">
        <v>30</v>
      </c>
      <c r="F1488" s="304"/>
      <c r="G1488" s="252">
        <v>2717.06</v>
      </c>
      <c r="H1488" s="252"/>
      <c r="I1488" s="126">
        <f t="shared" si="90"/>
        <v>2717.06</v>
      </c>
      <c r="J1488" s="126">
        <f t="shared" si="91"/>
        <v>2717.06</v>
      </c>
      <c r="K1488" s="94"/>
      <c r="M1488" s="95"/>
    </row>
    <row r="1489" spans="2:13" ht="22.5" outlineLevel="1" x14ac:dyDescent="0.2">
      <c r="B1489" s="92" t="s">
        <v>1512</v>
      </c>
      <c r="C1489" s="375" t="s">
        <v>1283</v>
      </c>
      <c r="D1489" s="369">
        <v>43830</v>
      </c>
      <c r="E1489" s="378">
        <v>30</v>
      </c>
      <c r="F1489" s="304"/>
      <c r="G1489" s="252">
        <v>2717.06</v>
      </c>
      <c r="H1489" s="252"/>
      <c r="I1489" s="126">
        <f t="shared" si="90"/>
        <v>2717.06</v>
      </c>
      <c r="J1489" s="126">
        <f t="shared" si="91"/>
        <v>2717.06</v>
      </c>
      <c r="K1489" s="94"/>
      <c r="M1489" s="95"/>
    </row>
    <row r="1490" spans="2:13" outlineLevel="1" x14ac:dyDescent="0.2">
      <c r="B1490" s="92" t="s">
        <v>1513</v>
      </c>
      <c r="C1490" s="375" t="s">
        <v>1227</v>
      </c>
      <c r="D1490" s="369">
        <v>43830</v>
      </c>
      <c r="E1490" s="378">
        <v>30</v>
      </c>
      <c r="F1490" s="304"/>
      <c r="G1490" s="252">
        <v>2717.06</v>
      </c>
      <c r="H1490" s="252"/>
      <c r="I1490" s="126">
        <f t="shared" si="90"/>
        <v>2717.06</v>
      </c>
      <c r="J1490" s="126">
        <f t="shared" si="91"/>
        <v>2717.06</v>
      </c>
      <c r="K1490" s="94"/>
      <c r="M1490" s="95"/>
    </row>
    <row r="1491" spans="2:13" outlineLevel="1" x14ac:dyDescent="0.2">
      <c r="B1491" s="92" t="s">
        <v>1514</v>
      </c>
      <c r="C1491" s="375" t="s">
        <v>1319</v>
      </c>
      <c r="D1491" s="369">
        <v>43830</v>
      </c>
      <c r="E1491" s="378">
        <v>80</v>
      </c>
      <c r="F1491" s="254">
        <v>49893.22</v>
      </c>
      <c r="G1491" s="252"/>
      <c r="H1491" s="252"/>
      <c r="I1491" s="126">
        <f t="shared" si="90"/>
        <v>49893.22</v>
      </c>
      <c r="J1491" s="126">
        <f t="shared" si="91"/>
        <v>49893.22</v>
      </c>
      <c r="K1491" s="94"/>
      <c r="M1491" s="95"/>
    </row>
    <row r="1492" spans="2:13" outlineLevel="1" x14ac:dyDescent="0.2">
      <c r="B1492" s="92" t="s">
        <v>1515</v>
      </c>
      <c r="C1492" s="375" t="s">
        <v>1300</v>
      </c>
      <c r="D1492" s="369">
        <v>43830</v>
      </c>
      <c r="E1492" s="378">
        <v>80</v>
      </c>
      <c r="F1492" s="254">
        <v>60709.22</v>
      </c>
      <c r="G1492" s="252"/>
      <c r="H1492" s="252"/>
      <c r="I1492" s="126">
        <f t="shared" si="90"/>
        <v>60709.22</v>
      </c>
      <c r="J1492" s="126">
        <f t="shared" si="91"/>
        <v>60709.22</v>
      </c>
      <c r="K1492" s="94"/>
      <c r="M1492" s="95"/>
    </row>
    <row r="1493" spans="2:13" outlineLevel="1" x14ac:dyDescent="0.2">
      <c r="B1493" s="92" t="s">
        <v>1516</v>
      </c>
      <c r="C1493" s="341"/>
      <c r="D1493" s="369">
        <v>43830</v>
      </c>
      <c r="E1493" s="378"/>
      <c r="F1493" s="304"/>
      <c r="G1493" s="252">
        <v>17254.12</v>
      </c>
      <c r="H1493" s="252"/>
      <c r="I1493" s="126">
        <f t="shared" si="90"/>
        <v>17254.12</v>
      </c>
      <c r="J1493" s="126">
        <f t="shared" si="91"/>
        <v>17254.12</v>
      </c>
      <c r="K1493" s="94"/>
      <c r="M1493" s="95"/>
    </row>
    <row r="1494" spans="2:13" ht="24" outlineLevel="1" x14ac:dyDescent="0.2">
      <c r="B1494" s="99" t="s">
        <v>1517</v>
      </c>
      <c r="C1494" s="375" t="s">
        <v>1359</v>
      </c>
      <c r="D1494" s="369">
        <v>43830</v>
      </c>
      <c r="E1494" s="378">
        <v>30</v>
      </c>
      <c r="F1494" s="304"/>
      <c r="G1494" s="252">
        <v>2215.0300000000002</v>
      </c>
      <c r="H1494" s="252"/>
      <c r="I1494" s="126">
        <f t="shared" ref="I1494:I1557" si="92">F1494+G1494+H1494</f>
        <v>2215.0300000000002</v>
      </c>
      <c r="J1494" s="126">
        <f t="shared" ref="J1494:J1557" si="93">I1494</f>
        <v>2215.0300000000002</v>
      </c>
      <c r="K1494" s="94"/>
      <c r="M1494" s="95"/>
    </row>
    <row r="1495" spans="2:13" ht="24" outlineLevel="1" x14ac:dyDescent="0.2">
      <c r="B1495" s="99" t="s">
        <v>1518</v>
      </c>
      <c r="C1495" s="375" t="s">
        <v>1519</v>
      </c>
      <c r="D1495" s="369">
        <v>43830</v>
      </c>
      <c r="E1495" s="378">
        <v>30</v>
      </c>
      <c r="F1495" s="304"/>
      <c r="G1495" s="252">
        <v>2215.0300000000002</v>
      </c>
      <c r="H1495" s="252"/>
      <c r="I1495" s="126">
        <f t="shared" si="92"/>
        <v>2215.0300000000002</v>
      </c>
      <c r="J1495" s="126">
        <f t="shared" si="93"/>
        <v>2215.0300000000002</v>
      </c>
      <c r="K1495" s="94"/>
      <c r="M1495" s="95"/>
    </row>
    <row r="1496" spans="2:13" ht="24" outlineLevel="1" x14ac:dyDescent="0.2">
      <c r="B1496" s="99" t="s">
        <v>1520</v>
      </c>
      <c r="C1496" s="375" t="s">
        <v>1355</v>
      </c>
      <c r="D1496" s="369">
        <v>43830</v>
      </c>
      <c r="E1496" s="378">
        <v>30</v>
      </c>
      <c r="F1496" s="304"/>
      <c r="G1496" s="252">
        <v>2215.0300000000002</v>
      </c>
      <c r="H1496" s="252"/>
      <c r="I1496" s="126">
        <f t="shared" si="92"/>
        <v>2215.0300000000002</v>
      </c>
      <c r="J1496" s="126">
        <f t="shared" si="93"/>
        <v>2215.0300000000002</v>
      </c>
      <c r="K1496" s="94"/>
      <c r="M1496" s="95"/>
    </row>
    <row r="1497" spans="2:13" ht="30.75" customHeight="1" outlineLevel="1" x14ac:dyDescent="0.2">
      <c r="B1497" s="99" t="s">
        <v>1521</v>
      </c>
      <c r="C1497" s="375" t="s">
        <v>1347</v>
      </c>
      <c r="D1497" s="369">
        <v>43830</v>
      </c>
      <c r="E1497" s="378">
        <v>30</v>
      </c>
      <c r="F1497" s="304"/>
      <c r="G1497" s="252">
        <v>2215.0300000000002</v>
      </c>
      <c r="H1497" s="252"/>
      <c r="I1497" s="126">
        <f t="shared" si="92"/>
        <v>2215.0300000000002</v>
      </c>
      <c r="J1497" s="126">
        <f t="shared" si="93"/>
        <v>2215.0300000000002</v>
      </c>
      <c r="K1497" s="94"/>
      <c r="M1497" s="95"/>
    </row>
    <row r="1498" spans="2:13" ht="24" outlineLevel="1" x14ac:dyDescent="0.2">
      <c r="B1498" s="99" t="s">
        <v>1522</v>
      </c>
      <c r="C1498" s="375" t="s">
        <v>1313</v>
      </c>
      <c r="D1498" s="369">
        <v>43830</v>
      </c>
      <c r="E1498" s="378">
        <v>30</v>
      </c>
      <c r="F1498" s="304"/>
      <c r="G1498" s="252">
        <v>2215.0300000000002</v>
      </c>
      <c r="H1498" s="252"/>
      <c r="I1498" s="126">
        <f t="shared" si="92"/>
        <v>2215.0300000000002</v>
      </c>
      <c r="J1498" s="126">
        <f t="shared" si="93"/>
        <v>2215.0300000000002</v>
      </c>
      <c r="K1498" s="94"/>
      <c r="M1498" s="95"/>
    </row>
    <row r="1499" spans="2:13" ht="24" outlineLevel="1" x14ac:dyDescent="0.2">
      <c r="B1499" s="99" t="s">
        <v>1523</v>
      </c>
      <c r="C1499" s="375" t="s">
        <v>1524</v>
      </c>
      <c r="D1499" s="369">
        <v>43830</v>
      </c>
      <c r="E1499" s="378">
        <v>30</v>
      </c>
      <c r="F1499" s="304"/>
      <c r="G1499" s="252">
        <v>2215.0300000000002</v>
      </c>
      <c r="H1499" s="252"/>
      <c r="I1499" s="126">
        <f t="shared" si="92"/>
        <v>2215.0300000000002</v>
      </c>
      <c r="J1499" s="126">
        <f t="shared" si="93"/>
        <v>2215.0300000000002</v>
      </c>
      <c r="K1499" s="94"/>
      <c r="M1499" s="95"/>
    </row>
    <row r="1500" spans="2:13" ht="24" outlineLevel="1" x14ac:dyDescent="0.2">
      <c r="B1500" s="99" t="s">
        <v>1525</v>
      </c>
      <c r="C1500" s="375" t="s">
        <v>1362</v>
      </c>
      <c r="D1500" s="369">
        <v>43830</v>
      </c>
      <c r="E1500" s="378">
        <v>30</v>
      </c>
      <c r="F1500" s="304"/>
      <c r="G1500" s="252">
        <v>2215.0300000000002</v>
      </c>
      <c r="H1500" s="252"/>
      <c r="I1500" s="126">
        <f t="shared" si="92"/>
        <v>2215.0300000000002</v>
      </c>
      <c r="J1500" s="126">
        <f t="shared" si="93"/>
        <v>2215.0300000000002</v>
      </c>
      <c r="K1500" s="94"/>
      <c r="M1500" s="95"/>
    </row>
    <row r="1501" spans="2:13" outlineLevel="1" x14ac:dyDescent="0.2">
      <c r="B1501" s="99" t="s">
        <v>1526</v>
      </c>
      <c r="C1501" s="375" t="s">
        <v>1527</v>
      </c>
      <c r="D1501" s="369">
        <v>43830</v>
      </c>
      <c r="E1501" s="378">
        <v>40</v>
      </c>
      <c r="F1501" s="254">
        <v>26585.21</v>
      </c>
      <c r="G1501" s="252"/>
      <c r="H1501" s="252"/>
      <c r="I1501" s="126">
        <f t="shared" si="92"/>
        <v>26585.21</v>
      </c>
      <c r="J1501" s="126">
        <f t="shared" si="93"/>
        <v>26585.21</v>
      </c>
      <c r="K1501" s="94"/>
      <c r="M1501" s="95"/>
    </row>
    <row r="1502" spans="2:13" ht="24" outlineLevel="1" x14ac:dyDescent="0.2">
      <c r="B1502" s="99" t="s">
        <v>1528</v>
      </c>
      <c r="C1502" s="375" t="s">
        <v>1529</v>
      </c>
      <c r="D1502" s="369">
        <v>43830</v>
      </c>
      <c r="E1502" s="378">
        <v>40</v>
      </c>
      <c r="F1502" s="254">
        <v>31873.48</v>
      </c>
      <c r="G1502" s="252"/>
      <c r="H1502" s="252"/>
      <c r="I1502" s="126">
        <f t="shared" si="92"/>
        <v>31873.48</v>
      </c>
      <c r="J1502" s="126">
        <f t="shared" si="93"/>
        <v>31873.48</v>
      </c>
      <c r="K1502" s="94"/>
      <c r="M1502" s="95"/>
    </row>
    <row r="1503" spans="2:13" ht="24" outlineLevel="1" x14ac:dyDescent="0.2">
      <c r="B1503" s="99" t="s">
        <v>1530</v>
      </c>
      <c r="C1503" s="375" t="s">
        <v>1531</v>
      </c>
      <c r="D1503" s="369">
        <v>43830</v>
      </c>
      <c r="E1503" s="378">
        <v>40</v>
      </c>
      <c r="F1503" s="254">
        <v>25614.23</v>
      </c>
      <c r="G1503" s="252"/>
      <c r="H1503" s="252"/>
      <c r="I1503" s="126">
        <f t="shared" si="92"/>
        <v>25614.23</v>
      </c>
      <c r="J1503" s="126">
        <f t="shared" si="93"/>
        <v>25614.23</v>
      </c>
      <c r="K1503" s="94"/>
      <c r="M1503" s="95"/>
    </row>
    <row r="1504" spans="2:13" ht="24" outlineLevel="1" x14ac:dyDescent="0.2">
      <c r="B1504" s="99" t="s">
        <v>1532</v>
      </c>
      <c r="C1504" s="375" t="s">
        <v>1531</v>
      </c>
      <c r="D1504" s="369">
        <v>43830</v>
      </c>
      <c r="E1504" s="378">
        <v>40</v>
      </c>
      <c r="F1504" s="254">
        <v>25614.22</v>
      </c>
      <c r="G1504" s="252"/>
      <c r="H1504" s="252"/>
      <c r="I1504" s="126">
        <f t="shared" si="92"/>
        <v>25614.22</v>
      </c>
      <c r="J1504" s="126">
        <f t="shared" si="93"/>
        <v>25614.22</v>
      </c>
      <c r="K1504" s="94"/>
      <c r="M1504" s="95"/>
    </row>
    <row r="1505" spans="2:13" ht="24" outlineLevel="1" x14ac:dyDescent="0.2">
      <c r="B1505" s="99" t="s">
        <v>1533</v>
      </c>
      <c r="C1505" s="375" t="s">
        <v>1531</v>
      </c>
      <c r="D1505" s="369">
        <v>43830</v>
      </c>
      <c r="E1505" s="378">
        <v>40</v>
      </c>
      <c r="F1505" s="254">
        <v>25396.53</v>
      </c>
      <c r="G1505" s="252"/>
      <c r="H1505" s="252"/>
      <c r="I1505" s="126">
        <f t="shared" si="92"/>
        <v>25396.53</v>
      </c>
      <c r="J1505" s="126">
        <f t="shared" si="93"/>
        <v>25396.53</v>
      </c>
      <c r="K1505" s="94"/>
      <c r="M1505" s="95"/>
    </row>
    <row r="1506" spans="2:13" outlineLevel="1" x14ac:dyDescent="0.2">
      <c r="B1506" s="99" t="s">
        <v>1534</v>
      </c>
      <c r="C1506" s="375" t="s">
        <v>1535</v>
      </c>
      <c r="D1506" s="369">
        <v>43830</v>
      </c>
      <c r="E1506" s="378">
        <v>80</v>
      </c>
      <c r="F1506" s="257">
        <v>313132</v>
      </c>
      <c r="G1506" s="252">
        <v>114601</v>
      </c>
      <c r="H1506" s="252"/>
      <c r="I1506" s="126">
        <f t="shared" si="92"/>
        <v>427733</v>
      </c>
      <c r="J1506" s="126">
        <f t="shared" si="93"/>
        <v>427733</v>
      </c>
      <c r="K1506" s="94"/>
      <c r="M1506" s="95"/>
    </row>
    <row r="1507" spans="2:13" ht="24" outlineLevel="1" x14ac:dyDescent="0.2">
      <c r="B1507" s="99" t="s">
        <v>1536</v>
      </c>
      <c r="C1507" s="375" t="s">
        <v>1537</v>
      </c>
      <c r="D1507" s="369">
        <v>43830</v>
      </c>
      <c r="E1507" s="378">
        <v>60</v>
      </c>
      <c r="F1507" s="304"/>
      <c r="G1507" s="252">
        <v>60902</v>
      </c>
      <c r="H1507" s="252"/>
      <c r="I1507" s="126">
        <f t="shared" si="92"/>
        <v>60902</v>
      </c>
      <c r="J1507" s="126">
        <f t="shared" si="93"/>
        <v>60902</v>
      </c>
      <c r="K1507" s="94"/>
      <c r="M1507" s="95"/>
    </row>
    <row r="1508" spans="2:13" ht="24" outlineLevel="1" x14ac:dyDescent="0.2">
      <c r="B1508" s="99" t="s">
        <v>1538</v>
      </c>
      <c r="C1508" s="375" t="s">
        <v>1539</v>
      </c>
      <c r="D1508" s="369">
        <v>43830</v>
      </c>
      <c r="E1508" s="378">
        <v>90</v>
      </c>
      <c r="F1508" s="254">
        <v>145401.69</v>
      </c>
      <c r="G1508" s="252">
        <v>47298</v>
      </c>
      <c r="H1508" s="252"/>
      <c r="I1508" s="126">
        <f t="shared" si="92"/>
        <v>192699.69</v>
      </c>
      <c r="J1508" s="126">
        <f t="shared" si="93"/>
        <v>192699.69</v>
      </c>
      <c r="K1508" s="94"/>
      <c r="M1508" s="95"/>
    </row>
    <row r="1509" spans="2:13" ht="24" outlineLevel="1" x14ac:dyDescent="0.2">
      <c r="B1509" s="99" t="s">
        <v>1540</v>
      </c>
      <c r="C1509" s="375" t="s">
        <v>1541</v>
      </c>
      <c r="D1509" s="369">
        <v>43830</v>
      </c>
      <c r="E1509" s="378">
        <v>30</v>
      </c>
      <c r="F1509" s="304"/>
      <c r="G1509" s="252">
        <v>11521.38</v>
      </c>
      <c r="H1509" s="252"/>
      <c r="I1509" s="126">
        <f t="shared" si="92"/>
        <v>11521.38</v>
      </c>
      <c r="J1509" s="126">
        <f t="shared" si="93"/>
        <v>11521.38</v>
      </c>
      <c r="K1509" s="94"/>
      <c r="M1509" s="95"/>
    </row>
    <row r="1510" spans="2:13" ht="24" outlineLevel="1" x14ac:dyDescent="0.2">
      <c r="B1510" s="99" t="s">
        <v>1542</v>
      </c>
      <c r="C1510" s="375" t="s">
        <v>1269</v>
      </c>
      <c r="D1510" s="369">
        <v>43830</v>
      </c>
      <c r="E1510" s="378">
        <v>40</v>
      </c>
      <c r="F1510" s="254">
        <v>29355.25</v>
      </c>
      <c r="G1510" s="252">
        <v>11489.61</v>
      </c>
      <c r="H1510" s="252"/>
      <c r="I1510" s="126">
        <f t="shared" si="92"/>
        <v>40844.86</v>
      </c>
      <c r="J1510" s="126">
        <f t="shared" si="93"/>
        <v>40844.86</v>
      </c>
      <c r="K1510" s="94"/>
      <c r="M1510" s="95"/>
    </row>
    <row r="1511" spans="2:13" ht="24" outlineLevel="1" x14ac:dyDescent="0.2">
      <c r="B1511" s="99" t="s">
        <v>1543</v>
      </c>
      <c r="C1511" s="375" t="s">
        <v>1405</v>
      </c>
      <c r="D1511" s="369">
        <v>43830</v>
      </c>
      <c r="E1511" s="378">
        <v>30</v>
      </c>
      <c r="F1511" s="304"/>
      <c r="G1511" s="252">
        <v>8488.2900000000009</v>
      </c>
      <c r="H1511" s="252"/>
      <c r="I1511" s="126">
        <f t="shared" si="92"/>
        <v>8488.2900000000009</v>
      </c>
      <c r="J1511" s="126">
        <f t="shared" si="93"/>
        <v>8488.2900000000009</v>
      </c>
      <c r="K1511" s="94"/>
      <c r="M1511" s="95"/>
    </row>
    <row r="1512" spans="2:13" outlineLevel="1" x14ac:dyDescent="0.2">
      <c r="B1512" s="99" t="s">
        <v>1544</v>
      </c>
      <c r="C1512" s="375" t="s">
        <v>1231</v>
      </c>
      <c r="D1512" s="369">
        <v>43830</v>
      </c>
      <c r="E1512" s="378">
        <v>30</v>
      </c>
      <c r="F1512" s="304"/>
      <c r="G1512" s="252">
        <v>17191.09</v>
      </c>
      <c r="H1512" s="252"/>
      <c r="I1512" s="126">
        <f t="shared" si="92"/>
        <v>17191.09</v>
      </c>
      <c r="J1512" s="126">
        <f t="shared" si="93"/>
        <v>17191.09</v>
      </c>
      <c r="K1512" s="94"/>
      <c r="M1512" s="95"/>
    </row>
    <row r="1513" spans="2:13" ht="24" outlineLevel="1" x14ac:dyDescent="0.2">
      <c r="B1513" s="99" t="s">
        <v>1545</v>
      </c>
      <c r="C1513" s="375" t="s">
        <v>1236</v>
      </c>
      <c r="D1513" s="369">
        <v>43830</v>
      </c>
      <c r="E1513" s="378">
        <v>30</v>
      </c>
      <c r="F1513" s="304"/>
      <c r="G1513" s="252">
        <v>12993.95</v>
      </c>
      <c r="H1513" s="252"/>
      <c r="I1513" s="126">
        <f t="shared" si="92"/>
        <v>12993.95</v>
      </c>
      <c r="J1513" s="126">
        <f t="shared" si="93"/>
        <v>12993.95</v>
      </c>
      <c r="K1513" s="94"/>
      <c r="M1513" s="95"/>
    </row>
    <row r="1514" spans="2:13" ht="24" outlineLevel="1" x14ac:dyDescent="0.2">
      <c r="B1514" s="99" t="s">
        <v>1546</v>
      </c>
      <c r="C1514" s="375" t="s">
        <v>1227</v>
      </c>
      <c r="D1514" s="369">
        <v>43830</v>
      </c>
      <c r="E1514" s="378">
        <v>65</v>
      </c>
      <c r="F1514" s="254">
        <v>142702.62</v>
      </c>
      <c r="G1514" s="252">
        <v>14535.29</v>
      </c>
      <c r="H1514" s="252"/>
      <c r="I1514" s="126">
        <f t="shared" si="92"/>
        <v>157237.91</v>
      </c>
      <c r="J1514" s="126">
        <f t="shared" si="93"/>
        <v>157237.91</v>
      </c>
      <c r="K1514" s="94"/>
      <c r="M1514" s="95"/>
    </row>
    <row r="1515" spans="2:13" ht="27" customHeight="1" outlineLevel="1" x14ac:dyDescent="0.2">
      <c r="B1515" s="99" t="s">
        <v>1547</v>
      </c>
      <c r="C1515" s="375" t="s">
        <v>1254</v>
      </c>
      <c r="D1515" s="369">
        <v>43830</v>
      </c>
      <c r="E1515" s="378">
        <v>30</v>
      </c>
      <c r="F1515" s="304"/>
      <c r="G1515" s="252">
        <v>11153.7</v>
      </c>
      <c r="H1515" s="252"/>
      <c r="I1515" s="126">
        <f t="shared" si="92"/>
        <v>11153.7</v>
      </c>
      <c r="J1515" s="126">
        <f t="shared" si="93"/>
        <v>11153.7</v>
      </c>
      <c r="K1515" s="94"/>
      <c r="M1515" s="95"/>
    </row>
    <row r="1516" spans="2:13" ht="24" outlineLevel="1" x14ac:dyDescent="0.2">
      <c r="B1516" s="99" t="s">
        <v>1548</v>
      </c>
      <c r="C1516" s="375" t="s">
        <v>1405</v>
      </c>
      <c r="D1516" s="369">
        <v>43830</v>
      </c>
      <c r="E1516" s="378">
        <v>30</v>
      </c>
      <c r="F1516" s="304"/>
      <c r="G1516" s="252">
        <v>10994.6</v>
      </c>
      <c r="H1516" s="252"/>
      <c r="I1516" s="126">
        <f t="shared" si="92"/>
        <v>10994.6</v>
      </c>
      <c r="J1516" s="126">
        <f t="shared" si="93"/>
        <v>10994.6</v>
      </c>
      <c r="K1516" s="94"/>
      <c r="M1516" s="95"/>
    </row>
    <row r="1517" spans="2:13" outlineLevel="1" x14ac:dyDescent="0.2">
      <c r="B1517" s="99" t="s">
        <v>1549</v>
      </c>
      <c r="C1517" s="375" t="s">
        <v>1260</v>
      </c>
      <c r="D1517" s="369">
        <v>43830</v>
      </c>
      <c r="E1517" s="378">
        <v>30</v>
      </c>
      <c r="F1517" s="254">
        <v>29908.66</v>
      </c>
      <c r="G1517" s="252">
        <v>7433.93</v>
      </c>
      <c r="H1517" s="252"/>
      <c r="I1517" s="126">
        <f t="shared" si="92"/>
        <v>37342.589999999997</v>
      </c>
      <c r="J1517" s="126">
        <f t="shared" si="93"/>
        <v>37342.589999999997</v>
      </c>
      <c r="K1517" s="94"/>
      <c r="M1517" s="95"/>
    </row>
    <row r="1518" spans="2:13" outlineLevel="1" x14ac:dyDescent="0.2">
      <c r="B1518" s="99" t="s">
        <v>1550</v>
      </c>
      <c r="C1518" s="375" t="s">
        <v>1229</v>
      </c>
      <c r="D1518" s="369">
        <v>43830</v>
      </c>
      <c r="E1518" s="378">
        <v>30</v>
      </c>
      <c r="F1518" s="304"/>
      <c r="G1518" s="252">
        <v>5218.8999999999996</v>
      </c>
      <c r="H1518" s="252"/>
      <c r="I1518" s="126">
        <f t="shared" si="92"/>
        <v>5218.8999999999996</v>
      </c>
      <c r="J1518" s="126">
        <f t="shared" si="93"/>
        <v>5218.8999999999996</v>
      </c>
      <c r="K1518" s="94"/>
      <c r="M1518" s="95"/>
    </row>
    <row r="1519" spans="2:13" ht="36" outlineLevel="1" x14ac:dyDescent="0.2">
      <c r="B1519" s="99" t="s">
        <v>1551</v>
      </c>
      <c r="C1519" s="375" t="s">
        <v>1225</v>
      </c>
      <c r="D1519" s="369">
        <v>43830</v>
      </c>
      <c r="E1519" s="378">
        <v>60</v>
      </c>
      <c r="F1519" s="254">
        <v>24106.639999999999</v>
      </c>
      <c r="G1519" s="252">
        <v>8820.9500000000007</v>
      </c>
      <c r="H1519" s="252"/>
      <c r="I1519" s="126">
        <f t="shared" si="92"/>
        <v>32927.589999999997</v>
      </c>
      <c r="J1519" s="126">
        <f t="shared" si="93"/>
        <v>32927.589999999997</v>
      </c>
      <c r="K1519" s="94"/>
      <c r="M1519" s="95"/>
    </row>
    <row r="1520" spans="2:13" ht="24" outlineLevel="1" x14ac:dyDescent="0.2">
      <c r="B1520" s="99" t="s">
        <v>1552</v>
      </c>
      <c r="C1520" s="375" t="s">
        <v>1553</v>
      </c>
      <c r="D1520" s="369">
        <v>43830</v>
      </c>
      <c r="E1520" s="378">
        <v>65</v>
      </c>
      <c r="F1520" s="254">
        <v>6478.58</v>
      </c>
      <c r="G1520" s="252">
        <v>11403.43</v>
      </c>
      <c r="H1520" s="252"/>
      <c r="I1520" s="126">
        <f t="shared" si="92"/>
        <v>17882.010000000002</v>
      </c>
      <c r="J1520" s="126">
        <f t="shared" si="93"/>
        <v>17882.010000000002</v>
      </c>
      <c r="K1520" s="94"/>
      <c r="M1520" s="95"/>
    </row>
    <row r="1521" spans="2:13" ht="24" outlineLevel="1" x14ac:dyDescent="0.2">
      <c r="B1521" s="99" t="s">
        <v>1554</v>
      </c>
      <c r="C1521" s="375" t="s">
        <v>1227</v>
      </c>
      <c r="D1521" s="369">
        <v>43830</v>
      </c>
      <c r="E1521" s="378">
        <v>65</v>
      </c>
      <c r="F1521" s="254">
        <v>17302.57</v>
      </c>
      <c r="G1521" s="252">
        <v>11403.43</v>
      </c>
      <c r="H1521" s="252"/>
      <c r="I1521" s="126">
        <f t="shared" si="92"/>
        <v>28706</v>
      </c>
      <c r="J1521" s="126">
        <f t="shared" si="93"/>
        <v>28706</v>
      </c>
      <c r="K1521" s="94"/>
      <c r="M1521" s="95"/>
    </row>
    <row r="1522" spans="2:13" outlineLevel="1" x14ac:dyDescent="0.2">
      <c r="B1522" s="99" t="s">
        <v>1555</v>
      </c>
      <c r="C1522" s="375" t="s">
        <v>1342</v>
      </c>
      <c r="D1522" s="369">
        <v>43830</v>
      </c>
      <c r="E1522" s="378">
        <v>65</v>
      </c>
      <c r="F1522" s="254">
        <v>26726.25</v>
      </c>
      <c r="G1522" s="252">
        <v>11403.43</v>
      </c>
      <c r="H1522" s="252"/>
      <c r="I1522" s="126">
        <f t="shared" si="92"/>
        <v>38129.68</v>
      </c>
      <c r="J1522" s="126">
        <f t="shared" si="93"/>
        <v>38129.68</v>
      </c>
      <c r="K1522" s="94"/>
      <c r="M1522" s="95"/>
    </row>
    <row r="1523" spans="2:13" outlineLevel="1" x14ac:dyDescent="0.2">
      <c r="B1523" s="99" t="s">
        <v>1556</v>
      </c>
      <c r="C1523" s="375" t="s">
        <v>1295</v>
      </c>
      <c r="D1523" s="369">
        <v>43830</v>
      </c>
      <c r="E1523" s="378">
        <v>30</v>
      </c>
      <c r="F1523" s="304"/>
      <c r="G1523" s="252">
        <v>5073.67</v>
      </c>
      <c r="H1523" s="252"/>
      <c r="I1523" s="126">
        <f t="shared" si="92"/>
        <v>5073.67</v>
      </c>
      <c r="J1523" s="126">
        <f t="shared" si="93"/>
        <v>5073.67</v>
      </c>
      <c r="K1523" s="94"/>
      <c r="M1523" s="95"/>
    </row>
    <row r="1524" spans="2:13" outlineLevel="1" x14ac:dyDescent="0.2">
      <c r="B1524" s="99" t="s">
        <v>1557</v>
      </c>
      <c r="C1524" s="375" t="s">
        <v>1306</v>
      </c>
      <c r="D1524" s="369">
        <v>43830</v>
      </c>
      <c r="E1524" s="378">
        <v>60</v>
      </c>
      <c r="F1524" s="254">
        <v>22177.48</v>
      </c>
      <c r="G1524" s="252">
        <v>10860.02</v>
      </c>
      <c r="H1524" s="252"/>
      <c r="I1524" s="126">
        <f t="shared" si="92"/>
        <v>33037.5</v>
      </c>
      <c r="J1524" s="126">
        <f t="shared" si="93"/>
        <v>33037.5</v>
      </c>
      <c r="K1524" s="94"/>
      <c r="M1524" s="95"/>
    </row>
    <row r="1525" spans="2:13" ht="24" outlineLevel="1" x14ac:dyDescent="0.2">
      <c r="B1525" s="99" t="s">
        <v>1558</v>
      </c>
      <c r="C1525" s="375" t="s">
        <v>1302</v>
      </c>
      <c r="D1525" s="369">
        <v>43830</v>
      </c>
      <c r="E1525" s="378">
        <v>30</v>
      </c>
      <c r="F1525" s="304"/>
      <c r="G1525" s="252">
        <v>10901.4</v>
      </c>
      <c r="H1525" s="252"/>
      <c r="I1525" s="126">
        <f t="shared" si="92"/>
        <v>10901.4</v>
      </c>
      <c r="J1525" s="126">
        <f t="shared" si="93"/>
        <v>10901.4</v>
      </c>
      <c r="K1525" s="94"/>
      <c r="M1525" s="95"/>
    </row>
    <row r="1526" spans="2:13" outlineLevel="1" x14ac:dyDescent="0.2">
      <c r="B1526" s="99" t="s">
        <v>1559</v>
      </c>
      <c r="C1526" s="375" t="s">
        <v>1321</v>
      </c>
      <c r="D1526" s="369">
        <v>43830</v>
      </c>
      <c r="E1526" s="378">
        <v>30</v>
      </c>
      <c r="F1526" s="304"/>
      <c r="G1526" s="252">
        <v>11188.96</v>
      </c>
      <c r="H1526" s="252"/>
      <c r="I1526" s="126">
        <f t="shared" si="92"/>
        <v>11188.96</v>
      </c>
      <c r="J1526" s="126">
        <f t="shared" si="93"/>
        <v>11188.96</v>
      </c>
      <c r="K1526" s="94"/>
      <c r="M1526" s="95"/>
    </row>
    <row r="1527" spans="2:13" outlineLevel="1" x14ac:dyDescent="0.2">
      <c r="B1527" s="99" t="s">
        <v>1560</v>
      </c>
      <c r="C1527" s="375" t="s">
        <v>1227</v>
      </c>
      <c r="D1527" s="369">
        <v>43830</v>
      </c>
      <c r="E1527" s="378">
        <v>30</v>
      </c>
      <c r="F1527" s="304"/>
      <c r="G1527" s="252">
        <v>10645.55</v>
      </c>
      <c r="H1527" s="252"/>
      <c r="I1527" s="126">
        <f t="shared" si="92"/>
        <v>10645.55</v>
      </c>
      <c r="J1527" s="126">
        <f t="shared" si="93"/>
        <v>10645.55</v>
      </c>
      <c r="K1527" s="94"/>
      <c r="M1527" s="95"/>
    </row>
    <row r="1528" spans="2:13" outlineLevel="1" x14ac:dyDescent="0.2">
      <c r="B1528" s="99" t="s">
        <v>1561</v>
      </c>
      <c r="C1528" s="375" t="s">
        <v>1217</v>
      </c>
      <c r="D1528" s="369">
        <v>43830</v>
      </c>
      <c r="E1528" s="378">
        <v>30</v>
      </c>
      <c r="F1528" s="304"/>
      <c r="G1528" s="252">
        <v>10645.63</v>
      </c>
      <c r="H1528" s="252"/>
      <c r="I1528" s="126">
        <f t="shared" si="92"/>
        <v>10645.63</v>
      </c>
      <c r="J1528" s="126">
        <f t="shared" si="93"/>
        <v>10645.63</v>
      </c>
      <c r="K1528" s="94"/>
      <c r="M1528" s="95"/>
    </row>
    <row r="1529" spans="2:13" ht="24" outlineLevel="1" x14ac:dyDescent="0.2">
      <c r="B1529" s="99" t="s">
        <v>1562</v>
      </c>
      <c r="C1529" s="375" t="s">
        <v>1313</v>
      </c>
      <c r="D1529" s="369">
        <v>43830</v>
      </c>
      <c r="E1529" s="378">
        <v>65</v>
      </c>
      <c r="F1529" s="254">
        <v>90929.72</v>
      </c>
      <c r="G1529" s="252">
        <v>15516.67</v>
      </c>
      <c r="H1529" s="252"/>
      <c r="I1529" s="126">
        <f t="shared" si="92"/>
        <v>106446.39</v>
      </c>
      <c r="J1529" s="126">
        <f t="shared" si="93"/>
        <v>106446.39</v>
      </c>
      <c r="K1529" s="94"/>
      <c r="M1529" s="95"/>
    </row>
    <row r="1530" spans="2:13" outlineLevel="1" x14ac:dyDescent="0.2">
      <c r="B1530" s="99" t="s">
        <v>1563</v>
      </c>
      <c r="C1530" s="375" t="s">
        <v>1298</v>
      </c>
      <c r="D1530" s="369">
        <v>43830</v>
      </c>
      <c r="E1530" s="378">
        <v>30</v>
      </c>
      <c r="F1530" s="304"/>
      <c r="G1530" s="252">
        <v>10645.55</v>
      </c>
      <c r="H1530" s="252"/>
      <c r="I1530" s="126">
        <f t="shared" si="92"/>
        <v>10645.55</v>
      </c>
      <c r="J1530" s="126">
        <f t="shared" si="93"/>
        <v>10645.55</v>
      </c>
      <c r="K1530" s="94"/>
      <c r="M1530" s="95"/>
    </row>
    <row r="1531" spans="2:13" ht="24" outlineLevel="1" x14ac:dyDescent="0.2">
      <c r="B1531" s="99" t="s">
        <v>1564</v>
      </c>
      <c r="C1531" s="375" t="s">
        <v>1283</v>
      </c>
      <c r="D1531" s="369">
        <v>43830</v>
      </c>
      <c r="E1531" s="378">
        <v>60</v>
      </c>
      <c r="F1531" s="254">
        <v>119183.22</v>
      </c>
      <c r="G1531" s="252">
        <v>11188.96</v>
      </c>
      <c r="H1531" s="252"/>
      <c r="I1531" s="126">
        <f t="shared" si="92"/>
        <v>130372.18</v>
      </c>
      <c r="J1531" s="126">
        <f t="shared" si="93"/>
        <v>130372.18</v>
      </c>
      <c r="K1531" s="94"/>
      <c r="M1531" s="95"/>
    </row>
    <row r="1532" spans="2:13" ht="24" outlineLevel="1" x14ac:dyDescent="0.2">
      <c r="B1532" s="99" t="s">
        <v>1565</v>
      </c>
      <c r="C1532" s="375" t="s">
        <v>1238</v>
      </c>
      <c r="D1532" s="369">
        <v>43830</v>
      </c>
      <c r="E1532" s="378">
        <v>30</v>
      </c>
      <c r="F1532" s="304"/>
      <c r="G1532" s="252">
        <v>8471.9</v>
      </c>
      <c r="H1532" s="252"/>
      <c r="I1532" s="126">
        <f t="shared" si="92"/>
        <v>8471.9</v>
      </c>
      <c r="J1532" s="126">
        <f t="shared" si="93"/>
        <v>8471.9</v>
      </c>
      <c r="K1532" s="94"/>
      <c r="M1532" s="95"/>
    </row>
    <row r="1533" spans="2:13" outlineLevel="1" x14ac:dyDescent="0.2">
      <c r="B1533" s="99" t="s">
        <v>1566</v>
      </c>
      <c r="C1533" s="375" t="s">
        <v>1376</v>
      </c>
      <c r="D1533" s="369">
        <v>43830</v>
      </c>
      <c r="E1533" s="378">
        <v>60</v>
      </c>
      <c r="F1533" s="254">
        <v>29716.77</v>
      </c>
      <c r="G1533" s="252">
        <v>8471.89</v>
      </c>
      <c r="H1533" s="252"/>
      <c r="I1533" s="126">
        <f t="shared" si="92"/>
        <v>38188.660000000003</v>
      </c>
      <c r="J1533" s="126">
        <f t="shared" si="93"/>
        <v>38188.660000000003</v>
      </c>
      <c r="K1533" s="94"/>
      <c r="M1533" s="95"/>
    </row>
    <row r="1534" spans="2:13" ht="24" outlineLevel="1" x14ac:dyDescent="0.2">
      <c r="B1534" s="99" t="s">
        <v>1567</v>
      </c>
      <c r="C1534" s="341"/>
      <c r="D1534" s="369">
        <v>43830</v>
      </c>
      <c r="E1534" s="378"/>
      <c r="F1534" s="304"/>
      <c r="G1534" s="252">
        <v>10645.55</v>
      </c>
      <c r="H1534" s="252"/>
      <c r="I1534" s="126">
        <f t="shared" si="92"/>
        <v>10645.55</v>
      </c>
      <c r="J1534" s="126">
        <f t="shared" si="93"/>
        <v>10645.55</v>
      </c>
      <c r="K1534" s="94"/>
      <c r="M1534" s="95"/>
    </row>
    <row r="1535" spans="2:13" outlineLevel="1" x14ac:dyDescent="0.2">
      <c r="B1535" s="99" t="s">
        <v>1568</v>
      </c>
      <c r="C1535" s="375" t="s">
        <v>1295</v>
      </c>
      <c r="D1535" s="369">
        <v>43830</v>
      </c>
      <c r="E1535" s="378">
        <v>80</v>
      </c>
      <c r="F1535" s="257">
        <v>91307</v>
      </c>
      <c r="G1535" s="252">
        <v>16195.11</v>
      </c>
      <c r="H1535" s="252"/>
      <c r="I1535" s="126">
        <f t="shared" si="92"/>
        <v>107502.11</v>
      </c>
      <c r="J1535" s="126">
        <f t="shared" si="93"/>
        <v>107502.11</v>
      </c>
      <c r="K1535" s="94"/>
      <c r="M1535" s="95"/>
    </row>
    <row r="1536" spans="2:13" outlineLevel="1" x14ac:dyDescent="0.2">
      <c r="B1536" s="99" t="s">
        <v>1569</v>
      </c>
      <c r="C1536" s="375" t="s">
        <v>1295</v>
      </c>
      <c r="D1536" s="369">
        <v>43830</v>
      </c>
      <c r="E1536" s="378">
        <v>80</v>
      </c>
      <c r="F1536" s="257">
        <v>80205</v>
      </c>
      <c r="G1536" s="252">
        <v>16195.16</v>
      </c>
      <c r="H1536" s="252"/>
      <c r="I1536" s="126">
        <f t="shared" si="92"/>
        <v>96400.16</v>
      </c>
      <c r="J1536" s="126">
        <f t="shared" si="93"/>
        <v>96400.16</v>
      </c>
      <c r="K1536" s="94"/>
      <c r="M1536" s="95"/>
    </row>
    <row r="1537" spans="2:13" ht="36" outlineLevel="1" x14ac:dyDescent="0.2">
      <c r="B1537" s="99" t="s">
        <v>1570</v>
      </c>
      <c r="C1537" s="375" t="s">
        <v>1571</v>
      </c>
      <c r="D1537" s="369">
        <v>43830</v>
      </c>
      <c r="E1537" s="378">
        <v>80</v>
      </c>
      <c r="F1537" s="304"/>
      <c r="G1537" s="252">
        <v>24951</v>
      </c>
      <c r="H1537" s="252"/>
      <c r="I1537" s="126">
        <f t="shared" si="92"/>
        <v>24951</v>
      </c>
      <c r="J1537" s="126">
        <f t="shared" si="93"/>
        <v>24951</v>
      </c>
      <c r="K1537" s="94"/>
      <c r="M1537" s="95"/>
    </row>
    <row r="1538" spans="2:13" ht="24" outlineLevel="1" x14ac:dyDescent="0.2">
      <c r="B1538" s="99" t="s">
        <v>1572</v>
      </c>
      <c r="C1538" s="375" t="s">
        <v>1573</v>
      </c>
      <c r="D1538" s="369">
        <v>43830</v>
      </c>
      <c r="E1538" s="378">
        <v>70</v>
      </c>
      <c r="F1538" s="254">
        <v>249948.12</v>
      </c>
      <c r="G1538" s="252">
        <v>50934.62</v>
      </c>
      <c r="H1538" s="252"/>
      <c r="I1538" s="126">
        <f t="shared" si="92"/>
        <v>300882.74</v>
      </c>
      <c r="J1538" s="126">
        <f t="shared" si="93"/>
        <v>300882.74</v>
      </c>
      <c r="K1538" s="94"/>
      <c r="M1538" s="95"/>
    </row>
    <row r="1539" spans="2:13" ht="24" outlineLevel="1" x14ac:dyDescent="0.2">
      <c r="B1539" s="99" t="s">
        <v>1574</v>
      </c>
      <c r="C1539" s="375" t="s">
        <v>1575</v>
      </c>
      <c r="D1539" s="369">
        <v>43830</v>
      </c>
      <c r="E1539" s="378">
        <v>70</v>
      </c>
      <c r="F1539" s="254">
        <v>113339.03</v>
      </c>
      <c r="G1539" s="252">
        <v>75945.710000000006</v>
      </c>
      <c r="H1539" s="252">
        <v>305882.27</v>
      </c>
      <c r="I1539" s="126">
        <f t="shared" si="92"/>
        <v>495167.01</v>
      </c>
      <c r="J1539" s="126">
        <f t="shared" si="93"/>
        <v>495167.01</v>
      </c>
      <c r="K1539" s="94"/>
      <c r="M1539" s="95"/>
    </row>
    <row r="1540" spans="2:13" ht="24" outlineLevel="1" x14ac:dyDescent="0.2">
      <c r="B1540" s="99" t="s">
        <v>1576</v>
      </c>
      <c r="C1540" s="375" t="s">
        <v>1577</v>
      </c>
      <c r="D1540" s="369">
        <v>43830</v>
      </c>
      <c r="E1540" s="378">
        <v>30</v>
      </c>
      <c r="F1540" s="304"/>
      <c r="G1540" s="252">
        <v>57666.89</v>
      </c>
      <c r="H1540" s="252"/>
      <c r="I1540" s="126">
        <f t="shared" si="92"/>
        <v>57666.89</v>
      </c>
      <c r="J1540" s="126">
        <f t="shared" si="93"/>
        <v>57666.89</v>
      </c>
      <c r="K1540" s="94"/>
      <c r="M1540" s="95"/>
    </row>
    <row r="1541" spans="2:13" ht="24" outlineLevel="1" x14ac:dyDescent="0.2">
      <c r="B1541" s="99" t="s">
        <v>965</v>
      </c>
      <c r="C1541" s="375" t="s">
        <v>1578</v>
      </c>
      <c r="D1541" s="369">
        <v>43830</v>
      </c>
      <c r="E1541" s="378">
        <v>70</v>
      </c>
      <c r="F1541" s="254">
        <v>57225.55</v>
      </c>
      <c r="G1541" s="252">
        <v>90908.79</v>
      </c>
      <c r="H1541" s="252"/>
      <c r="I1541" s="126">
        <f t="shared" si="92"/>
        <v>148134.34</v>
      </c>
      <c r="J1541" s="126">
        <f t="shared" si="93"/>
        <v>148134.34</v>
      </c>
      <c r="K1541" s="94"/>
      <c r="M1541" s="95"/>
    </row>
    <row r="1542" spans="2:13" ht="24" outlineLevel="1" x14ac:dyDescent="0.2">
      <c r="B1542" s="99" t="s">
        <v>966</v>
      </c>
      <c r="C1542" s="375" t="s">
        <v>1579</v>
      </c>
      <c r="D1542" s="369">
        <v>43830</v>
      </c>
      <c r="E1542" s="378">
        <v>70</v>
      </c>
      <c r="F1542" s="254">
        <v>33262.730000000003</v>
      </c>
      <c r="G1542" s="252">
        <v>13129.14</v>
      </c>
      <c r="H1542" s="252">
        <v>39331.35</v>
      </c>
      <c r="I1542" s="126">
        <f t="shared" si="92"/>
        <v>85723.22</v>
      </c>
      <c r="J1542" s="126">
        <f t="shared" si="93"/>
        <v>85723.22</v>
      </c>
      <c r="K1542" s="94"/>
      <c r="M1542" s="95"/>
    </row>
    <row r="1543" spans="2:13" ht="24" outlineLevel="1" x14ac:dyDescent="0.2">
      <c r="B1543" s="99" t="s">
        <v>1580</v>
      </c>
      <c r="C1543" s="375" t="s">
        <v>1573</v>
      </c>
      <c r="D1543" s="369">
        <v>43830</v>
      </c>
      <c r="E1543" s="378">
        <v>60</v>
      </c>
      <c r="F1543" s="257">
        <v>345395</v>
      </c>
      <c r="G1543" s="252">
        <v>40524.26</v>
      </c>
      <c r="H1543" s="252"/>
      <c r="I1543" s="126">
        <f t="shared" si="92"/>
        <v>385919.26</v>
      </c>
      <c r="J1543" s="126">
        <f t="shared" si="93"/>
        <v>385919.26</v>
      </c>
      <c r="K1543" s="94"/>
      <c r="M1543" s="95"/>
    </row>
    <row r="1544" spans="2:13" ht="24" outlineLevel="1" x14ac:dyDescent="0.2">
      <c r="B1544" s="99" t="s">
        <v>1581</v>
      </c>
      <c r="C1544" s="375" t="s">
        <v>1582</v>
      </c>
      <c r="D1544" s="369">
        <v>43830</v>
      </c>
      <c r="E1544" s="378">
        <v>70</v>
      </c>
      <c r="F1544" s="254">
        <v>737476.16</v>
      </c>
      <c r="G1544" s="252">
        <v>33572.83</v>
      </c>
      <c r="H1544" s="252"/>
      <c r="I1544" s="126">
        <f t="shared" si="92"/>
        <v>771048.99</v>
      </c>
      <c r="J1544" s="126">
        <f t="shared" si="93"/>
        <v>771048.99</v>
      </c>
      <c r="K1544" s="94"/>
      <c r="M1544" s="95"/>
    </row>
    <row r="1545" spans="2:13" ht="24" outlineLevel="1" x14ac:dyDescent="0.2">
      <c r="B1545" s="99" t="s">
        <v>1583</v>
      </c>
      <c r="C1545" s="375" t="s">
        <v>1584</v>
      </c>
      <c r="D1545" s="369">
        <v>43830</v>
      </c>
      <c r="E1545" s="378">
        <v>30</v>
      </c>
      <c r="F1545" s="304"/>
      <c r="G1545" s="252">
        <v>10524.26</v>
      </c>
      <c r="H1545" s="252"/>
      <c r="I1545" s="126">
        <f t="shared" si="92"/>
        <v>10524.26</v>
      </c>
      <c r="J1545" s="126">
        <f t="shared" si="93"/>
        <v>10524.26</v>
      </c>
      <c r="K1545" s="94"/>
      <c r="M1545" s="95"/>
    </row>
    <row r="1546" spans="2:13" ht="24" outlineLevel="1" x14ac:dyDescent="0.2">
      <c r="B1546" s="99" t="s">
        <v>1585</v>
      </c>
      <c r="C1546" s="375" t="s">
        <v>1586</v>
      </c>
      <c r="D1546" s="369">
        <v>43830</v>
      </c>
      <c r="E1546" s="378">
        <v>70</v>
      </c>
      <c r="F1546" s="254">
        <v>74792.28</v>
      </c>
      <c r="G1546" s="252">
        <v>18611.45</v>
      </c>
      <c r="H1546" s="252"/>
      <c r="I1546" s="126">
        <f t="shared" si="92"/>
        <v>93403.73</v>
      </c>
      <c r="J1546" s="126">
        <f t="shared" si="93"/>
        <v>93403.73</v>
      </c>
      <c r="K1546" s="94"/>
      <c r="M1546" s="95"/>
    </row>
    <row r="1547" spans="2:13" ht="24" outlineLevel="1" x14ac:dyDescent="0.2">
      <c r="B1547" s="99" t="s">
        <v>1587</v>
      </c>
      <c r="C1547" s="375" t="s">
        <v>1584</v>
      </c>
      <c r="D1547" s="369">
        <v>43830</v>
      </c>
      <c r="E1547" s="378">
        <v>70</v>
      </c>
      <c r="F1547" s="254">
        <v>11538.95</v>
      </c>
      <c r="G1547" s="252">
        <v>12074.72</v>
      </c>
      <c r="H1547" s="252"/>
      <c r="I1547" s="126">
        <f t="shared" si="92"/>
        <v>23613.67</v>
      </c>
      <c r="J1547" s="126">
        <f t="shared" si="93"/>
        <v>23613.67</v>
      </c>
      <c r="K1547" s="94"/>
      <c r="M1547" s="95"/>
    </row>
    <row r="1548" spans="2:13" ht="24" outlineLevel="1" x14ac:dyDescent="0.2">
      <c r="B1548" s="99" t="s">
        <v>1588</v>
      </c>
      <c r="C1548" s="375" t="s">
        <v>1589</v>
      </c>
      <c r="D1548" s="369">
        <v>43830</v>
      </c>
      <c r="E1548" s="378">
        <v>70</v>
      </c>
      <c r="F1548" s="254">
        <v>66269.75</v>
      </c>
      <c r="G1548" s="252">
        <v>17553.330000000002</v>
      </c>
      <c r="H1548" s="252"/>
      <c r="I1548" s="126">
        <f t="shared" si="92"/>
        <v>83823.08</v>
      </c>
      <c r="J1548" s="126">
        <f t="shared" si="93"/>
        <v>83823.08</v>
      </c>
      <c r="K1548" s="94"/>
      <c r="M1548" s="95"/>
    </row>
    <row r="1549" spans="2:13" outlineLevel="1" x14ac:dyDescent="0.2">
      <c r="B1549" s="99" t="s">
        <v>1590</v>
      </c>
      <c r="C1549" s="375" t="s">
        <v>1591</v>
      </c>
      <c r="D1549" s="369">
        <v>43830</v>
      </c>
      <c r="E1549" s="378">
        <v>60</v>
      </c>
      <c r="F1549" s="254">
        <v>47443.22</v>
      </c>
      <c r="G1549" s="252">
        <v>6674</v>
      </c>
      <c r="H1549" s="252"/>
      <c r="I1549" s="126">
        <f t="shared" si="92"/>
        <v>54117.22</v>
      </c>
      <c r="J1549" s="126">
        <f t="shared" si="93"/>
        <v>54117.22</v>
      </c>
      <c r="K1549" s="94"/>
      <c r="M1549" s="95"/>
    </row>
    <row r="1550" spans="2:13" outlineLevel="1" x14ac:dyDescent="0.2">
      <c r="B1550" s="99" t="s">
        <v>1592</v>
      </c>
      <c r="C1550" s="375" t="s">
        <v>1593</v>
      </c>
      <c r="D1550" s="369">
        <v>43830</v>
      </c>
      <c r="E1550" s="378">
        <v>60</v>
      </c>
      <c r="F1550" s="254">
        <v>43944.07</v>
      </c>
      <c r="G1550" s="252">
        <v>6953</v>
      </c>
      <c r="H1550" s="252"/>
      <c r="I1550" s="126">
        <f t="shared" si="92"/>
        <v>50897.07</v>
      </c>
      <c r="J1550" s="126">
        <f t="shared" si="93"/>
        <v>50897.07</v>
      </c>
      <c r="K1550" s="94"/>
      <c r="M1550" s="95"/>
    </row>
    <row r="1551" spans="2:13" ht="24" outlineLevel="1" x14ac:dyDescent="0.2">
      <c r="B1551" s="99" t="s">
        <v>1594</v>
      </c>
      <c r="C1551" s="375" t="s">
        <v>1595</v>
      </c>
      <c r="D1551" s="369">
        <v>43830</v>
      </c>
      <c r="E1551" s="378">
        <v>60</v>
      </c>
      <c r="F1551" s="254">
        <v>43334.75</v>
      </c>
      <c r="G1551" s="252">
        <v>6953</v>
      </c>
      <c r="H1551" s="252"/>
      <c r="I1551" s="126">
        <f t="shared" si="92"/>
        <v>50287.75</v>
      </c>
      <c r="J1551" s="126">
        <f t="shared" si="93"/>
        <v>50287.75</v>
      </c>
      <c r="K1551" s="94"/>
      <c r="M1551" s="95"/>
    </row>
    <row r="1552" spans="2:13" outlineLevel="1" x14ac:dyDescent="0.2">
      <c r="B1552" s="99" t="s">
        <v>1596</v>
      </c>
      <c r="C1552" s="375" t="s">
        <v>1597</v>
      </c>
      <c r="D1552" s="369">
        <v>43830</v>
      </c>
      <c r="E1552" s="378">
        <v>30</v>
      </c>
      <c r="F1552" s="304"/>
      <c r="G1552" s="252">
        <v>3305.36</v>
      </c>
      <c r="H1552" s="252"/>
      <c r="I1552" s="126">
        <f t="shared" si="92"/>
        <v>3305.36</v>
      </c>
      <c r="J1552" s="126">
        <f t="shared" si="93"/>
        <v>3305.36</v>
      </c>
      <c r="K1552" s="94"/>
      <c r="M1552" s="95"/>
    </row>
    <row r="1553" spans="2:13" outlineLevel="1" x14ac:dyDescent="0.2">
      <c r="B1553" s="99" t="s">
        <v>1598</v>
      </c>
      <c r="C1553" s="375" t="s">
        <v>1599</v>
      </c>
      <c r="D1553" s="369">
        <v>43830</v>
      </c>
      <c r="E1553" s="378">
        <v>60</v>
      </c>
      <c r="F1553" s="254">
        <v>33395.93</v>
      </c>
      <c r="G1553" s="252">
        <v>11621.37</v>
      </c>
      <c r="H1553" s="252"/>
      <c r="I1553" s="126">
        <f t="shared" si="92"/>
        <v>45017.3</v>
      </c>
      <c r="J1553" s="126">
        <f t="shared" si="93"/>
        <v>45017.3</v>
      </c>
      <c r="K1553" s="94"/>
      <c r="M1553" s="95"/>
    </row>
    <row r="1554" spans="2:13" outlineLevel="1" x14ac:dyDescent="0.2">
      <c r="B1554" s="99" t="s">
        <v>1600</v>
      </c>
      <c r="C1554" s="375" t="s">
        <v>1601</v>
      </c>
      <c r="D1554" s="369">
        <v>43830</v>
      </c>
      <c r="E1554" s="378">
        <v>60</v>
      </c>
      <c r="F1554" s="254">
        <v>47670.34</v>
      </c>
      <c r="G1554" s="252">
        <v>6953</v>
      </c>
      <c r="H1554" s="252"/>
      <c r="I1554" s="126">
        <f t="shared" si="92"/>
        <v>54623.34</v>
      </c>
      <c r="J1554" s="126">
        <f t="shared" si="93"/>
        <v>54623.34</v>
      </c>
      <c r="K1554" s="94"/>
      <c r="M1554" s="95"/>
    </row>
    <row r="1555" spans="2:13" outlineLevel="1" x14ac:dyDescent="0.2">
      <c r="B1555" s="99" t="s">
        <v>1602</v>
      </c>
      <c r="C1555" s="375" t="s">
        <v>1603</v>
      </c>
      <c r="D1555" s="369">
        <v>43830</v>
      </c>
      <c r="E1555" s="378">
        <v>60</v>
      </c>
      <c r="F1555" s="254">
        <v>49105.93</v>
      </c>
      <c r="G1555" s="252">
        <v>6953</v>
      </c>
      <c r="H1555" s="252"/>
      <c r="I1555" s="126">
        <f t="shared" si="92"/>
        <v>56058.93</v>
      </c>
      <c r="J1555" s="126">
        <f t="shared" si="93"/>
        <v>56058.93</v>
      </c>
      <c r="K1555" s="94"/>
      <c r="M1555" s="95"/>
    </row>
    <row r="1556" spans="2:13" outlineLevel="1" x14ac:dyDescent="0.2">
      <c r="B1556" s="99" t="s">
        <v>1604</v>
      </c>
      <c r="C1556" s="375" t="s">
        <v>1603</v>
      </c>
      <c r="D1556" s="369">
        <v>43830</v>
      </c>
      <c r="E1556" s="378">
        <v>60</v>
      </c>
      <c r="F1556" s="254">
        <v>44919.49</v>
      </c>
      <c r="G1556" s="252">
        <v>6953</v>
      </c>
      <c r="H1556" s="252"/>
      <c r="I1556" s="126">
        <f t="shared" si="92"/>
        <v>51872.49</v>
      </c>
      <c r="J1556" s="126">
        <f t="shared" si="93"/>
        <v>51872.49</v>
      </c>
      <c r="K1556" s="94"/>
      <c r="M1556" s="95"/>
    </row>
    <row r="1557" spans="2:13" outlineLevel="1" x14ac:dyDescent="0.2">
      <c r="B1557" s="99" t="s">
        <v>1605</v>
      </c>
      <c r="C1557" s="375" t="s">
        <v>1603</v>
      </c>
      <c r="D1557" s="369">
        <v>43830</v>
      </c>
      <c r="E1557" s="378">
        <v>60</v>
      </c>
      <c r="F1557" s="254">
        <v>41394.92</v>
      </c>
      <c r="G1557" s="252">
        <v>6953</v>
      </c>
      <c r="H1557" s="252"/>
      <c r="I1557" s="126">
        <f t="shared" si="92"/>
        <v>48347.92</v>
      </c>
      <c r="J1557" s="126">
        <f t="shared" si="93"/>
        <v>48347.92</v>
      </c>
      <c r="K1557" s="94"/>
      <c r="M1557" s="95"/>
    </row>
    <row r="1558" spans="2:13" ht="24" outlineLevel="1" x14ac:dyDescent="0.2">
      <c r="B1558" s="99" t="s">
        <v>1606</v>
      </c>
      <c r="C1558" s="375" t="s">
        <v>1274</v>
      </c>
      <c r="D1558" s="369">
        <v>43830</v>
      </c>
      <c r="E1558" s="378">
        <v>60</v>
      </c>
      <c r="F1558" s="254">
        <v>26683.759999999998</v>
      </c>
      <c r="G1558" s="252">
        <v>18491.009999999998</v>
      </c>
      <c r="H1558" s="252"/>
      <c r="I1558" s="126">
        <f t="shared" ref="I1558:I1621" si="94">F1558+G1558+H1558</f>
        <v>45174.77</v>
      </c>
      <c r="J1558" s="126">
        <f t="shared" ref="J1558:J1621" si="95">I1558</f>
        <v>45174.77</v>
      </c>
      <c r="K1558" s="94"/>
      <c r="M1558" s="95"/>
    </row>
    <row r="1559" spans="2:13" outlineLevel="1" x14ac:dyDescent="0.2">
      <c r="B1559" s="99" t="s">
        <v>1607</v>
      </c>
      <c r="C1559" s="375" t="s">
        <v>1608</v>
      </c>
      <c r="D1559" s="369">
        <v>43830</v>
      </c>
      <c r="E1559" s="378">
        <v>30</v>
      </c>
      <c r="F1559" s="304"/>
      <c r="G1559" s="252">
        <v>14775.97</v>
      </c>
      <c r="H1559" s="252"/>
      <c r="I1559" s="126">
        <f t="shared" si="94"/>
        <v>14775.97</v>
      </c>
      <c r="J1559" s="126">
        <f t="shared" si="95"/>
        <v>14775.97</v>
      </c>
      <c r="K1559" s="94"/>
      <c r="M1559" s="95"/>
    </row>
    <row r="1560" spans="2:13" outlineLevel="1" x14ac:dyDescent="0.2">
      <c r="B1560" s="99" t="s">
        <v>1609</v>
      </c>
      <c r="C1560" s="375" t="s">
        <v>1603</v>
      </c>
      <c r="D1560" s="369">
        <v>43830</v>
      </c>
      <c r="E1560" s="378">
        <v>30</v>
      </c>
      <c r="F1560" s="304"/>
      <c r="G1560" s="252">
        <v>30115.39</v>
      </c>
      <c r="H1560" s="252"/>
      <c r="I1560" s="126">
        <f t="shared" si="94"/>
        <v>30115.39</v>
      </c>
      <c r="J1560" s="126">
        <f t="shared" si="95"/>
        <v>30115.39</v>
      </c>
      <c r="K1560" s="94"/>
      <c r="M1560" s="95"/>
    </row>
    <row r="1561" spans="2:13" ht="24" outlineLevel="1" x14ac:dyDescent="0.2">
      <c r="B1561" s="99" t="s">
        <v>1610</v>
      </c>
      <c r="C1561" s="375" t="s">
        <v>1611</v>
      </c>
      <c r="D1561" s="369">
        <v>43830</v>
      </c>
      <c r="E1561" s="378">
        <v>30</v>
      </c>
      <c r="F1561" s="304"/>
      <c r="G1561" s="252">
        <v>11130.39</v>
      </c>
      <c r="H1561" s="252"/>
      <c r="I1561" s="126">
        <f t="shared" si="94"/>
        <v>11130.39</v>
      </c>
      <c r="J1561" s="126">
        <f t="shared" si="95"/>
        <v>11130.39</v>
      </c>
      <c r="K1561" s="94"/>
      <c r="M1561" s="95"/>
    </row>
    <row r="1562" spans="2:13" outlineLevel="1" x14ac:dyDescent="0.2">
      <c r="B1562" s="99" t="s">
        <v>1612</v>
      </c>
      <c r="C1562" s="375" t="s">
        <v>1613</v>
      </c>
      <c r="D1562" s="369">
        <v>43830</v>
      </c>
      <c r="E1562" s="378">
        <v>70</v>
      </c>
      <c r="F1562" s="254">
        <v>52335.24</v>
      </c>
      <c r="G1562" s="252">
        <v>14775.97</v>
      </c>
      <c r="H1562" s="252"/>
      <c r="I1562" s="126">
        <f t="shared" si="94"/>
        <v>67111.209999999992</v>
      </c>
      <c r="J1562" s="126">
        <f t="shared" si="95"/>
        <v>67111.209999999992</v>
      </c>
      <c r="K1562" s="94"/>
      <c r="M1562" s="95"/>
    </row>
    <row r="1563" spans="2:13" ht="24" outlineLevel="1" x14ac:dyDescent="0.2">
      <c r="B1563" s="99" t="s">
        <v>1614</v>
      </c>
      <c r="C1563" s="375" t="s">
        <v>1615</v>
      </c>
      <c r="D1563" s="369">
        <v>43830</v>
      </c>
      <c r="E1563" s="378">
        <v>70</v>
      </c>
      <c r="F1563" s="254">
        <v>39869.82</v>
      </c>
      <c r="G1563" s="252">
        <v>7901.33</v>
      </c>
      <c r="H1563" s="252"/>
      <c r="I1563" s="126">
        <f t="shared" si="94"/>
        <v>47771.15</v>
      </c>
      <c r="J1563" s="126">
        <f t="shared" si="95"/>
        <v>47771.15</v>
      </c>
      <c r="K1563" s="94"/>
      <c r="M1563" s="95"/>
    </row>
    <row r="1564" spans="2:13" ht="24" outlineLevel="1" x14ac:dyDescent="0.2">
      <c r="B1564" s="99" t="s">
        <v>1616</v>
      </c>
      <c r="C1564" s="375" t="s">
        <v>1617</v>
      </c>
      <c r="D1564" s="369">
        <v>43830</v>
      </c>
      <c r="E1564" s="378">
        <v>70</v>
      </c>
      <c r="F1564" s="255">
        <v>28063.4</v>
      </c>
      <c r="G1564" s="252">
        <v>7901.33</v>
      </c>
      <c r="H1564" s="252"/>
      <c r="I1564" s="126">
        <f t="shared" si="94"/>
        <v>35964.730000000003</v>
      </c>
      <c r="J1564" s="126">
        <f t="shared" si="95"/>
        <v>35964.730000000003</v>
      </c>
      <c r="K1564" s="94"/>
      <c r="M1564" s="95"/>
    </row>
    <row r="1565" spans="2:13" ht="24" outlineLevel="1" x14ac:dyDescent="0.2">
      <c r="B1565" s="99" t="s">
        <v>1618</v>
      </c>
      <c r="C1565" s="375" t="s">
        <v>1619</v>
      </c>
      <c r="D1565" s="369">
        <v>43830</v>
      </c>
      <c r="E1565" s="378">
        <v>60</v>
      </c>
      <c r="F1565" s="254">
        <v>51748.23</v>
      </c>
      <c r="G1565" s="252">
        <v>69024</v>
      </c>
      <c r="H1565" s="252"/>
      <c r="I1565" s="126">
        <f t="shared" si="94"/>
        <v>120772.23000000001</v>
      </c>
      <c r="J1565" s="126">
        <f t="shared" si="95"/>
        <v>120772.23000000001</v>
      </c>
      <c r="K1565" s="94"/>
      <c r="M1565" s="95"/>
    </row>
    <row r="1566" spans="2:13" ht="24" outlineLevel="1" x14ac:dyDescent="0.2">
      <c r="B1566" s="99" t="s">
        <v>1620</v>
      </c>
      <c r="C1566" s="375" t="s">
        <v>1621</v>
      </c>
      <c r="D1566" s="369">
        <v>43830</v>
      </c>
      <c r="E1566" s="378">
        <v>90</v>
      </c>
      <c r="F1566" s="255">
        <v>48090.9</v>
      </c>
      <c r="G1566" s="252">
        <v>44418.75</v>
      </c>
      <c r="H1566" s="252"/>
      <c r="I1566" s="126">
        <f t="shared" si="94"/>
        <v>92509.65</v>
      </c>
      <c r="J1566" s="126">
        <f t="shared" si="95"/>
        <v>92509.65</v>
      </c>
      <c r="K1566" s="94"/>
      <c r="M1566" s="95"/>
    </row>
    <row r="1567" spans="2:13" ht="24" outlineLevel="1" x14ac:dyDescent="0.2">
      <c r="B1567" s="99" t="s">
        <v>1622</v>
      </c>
      <c r="C1567" s="375" t="s">
        <v>1623</v>
      </c>
      <c r="D1567" s="369">
        <v>43830</v>
      </c>
      <c r="E1567" s="378">
        <v>80</v>
      </c>
      <c r="F1567" s="254">
        <v>154546.71</v>
      </c>
      <c r="G1567" s="252">
        <v>75744</v>
      </c>
      <c r="H1567" s="252"/>
      <c r="I1567" s="126">
        <f t="shared" si="94"/>
        <v>230290.71</v>
      </c>
      <c r="J1567" s="126">
        <f t="shared" si="95"/>
        <v>230290.71</v>
      </c>
      <c r="K1567" s="94"/>
      <c r="M1567" s="95"/>
    </row>
    <row r="1568" spans="2:13" ht="24" outlineLevel="1" x14ac:dyDescent="0.2">
      <c r="B1568" s="99" t="s">
        <v>1624</v>
      </c>
      <c r="C1568" s="375" t="s">
        <v>1625</v>
      </c>
      <c r="D1568" s="369">
        <v>43830</v>
      </c>
      <c r="E1568" s="378">
        <v>70</v>
      </c>
      <c r="F1568" s="254">
        <v>120525.78</v>
      </c>
      <c r="G1568" s="252">
        <v>16753.650000000001</v>
      </c>
      <c r="H1568" s="252"/>
      <c r="I1568" s="126">
        <f t="shared" si="94"/>
        <v>137279.43</v>
      </c>
      <c r="J1568" s="126">
        <f t="shared" si="95"/>
        <v>137279.43</v>
      </c>
      <c r="K1568" s="94"/>
      <c r="M1568" s="95"/>
    </row>
    <row r="1569" spans="2:13" ht="24" outlineLevel="1" x14ac:dyDescent="0.2">
      <c r="B1569" s="99" t="s">
        <v>964</v>
      </c>
      <c r="C1569" s="375" t="s">
        <v>1626</v>
      </c>
      <c r="D1569" s="369">
        <v>43830</v>
      </c>
      <c r="E1569" s="378">
        <v>30</v>
      </c>
      <c r="F1569" s="304"/>
      <c r="G1569" s="252">
        <v>14304</v>
      </c>
      <c r="H1569" s="252">
        <v>1790.32</v>
      </c>
      <c r="I1569" s="126">
        <f t="shared" si="94"/>
        <v>16094.32</v>
      </c>
      <c r="J1569" s="126">
        <f t="shared" si="95"/>
        <v>16094.32</v>
      </c>
      <c r="K1569" s="94"/>
      <c r="M1569" s="95"/>
    </row>
    <row r="1570" spans="2:13" ht="24" outlineLevel="1" x14ac:dyDescent="0.2">
      <c r="B1570" s="99" t="s">
        <v>1627</v>
      </c>
      <c r="C1570" s="375" t="s">
        <v>1628</v>
      </c>
      <c r="D1570" s="369">
        <v>43830</v>
      </c>
      <c r="E1570" s="378">
        <v>30</v>
      </c>
      <c r="F1570" s="304"/>
      <c r="G1570" s="252">
        <v>6953</v>
      </c>
      <c r="H1570" s="252"/>
      <c r="I1570" s="126">
        <f t="shared" si="94"/>
        <v>6953</v>
      </c>
      <c r="J1570" s="126">
        <f t="shared" si="95"/>
        <v>6953</v>
      </c>
      <c r="K1570" s="94"/>
      <c r="M1570" s="95"/>
    </row>
    <row r="1571" spans="2:13" ht="24" outlineLevel="1" x14ac:dyDescent="0.2">
      <c r="B1571" s="99" t="s">
        <v>1629</v>
      </c>
      <c r="C1571" s="375" t="s">
        <v>1628</v>
      </c>
      <c r="D1571" s="369">
        <v>43830</v>
      </c>
      <c r="E1571" s="378">
        <v>30</v>
      </c>
      <c r="F1571" s="304"/>
      <c r="G1571" s="252">
        <v>6953</v>
      </c>
      <c r="H1571" s="252"/>
      <c r="I1571" s="126">
        <f t="shared" si="94"/>
        <v>6953</v>
      </c>
      <c r="J1571" s="126">
        <f t="shared" si="95"/>
        <v>6953</v>
      </c>
      <c r="K1571" s="94"/>
      <c r="M1571" s="95"/>
    </row>
    <row r="1572" spans="2:13" ht="24" outlineLevel="1" x14ac:dyDescent="0.2">
      <c r="B1572" s="99" t="s">
        <v>1630</v>
      </c>
      <c r="C1572" s="375" t="s">
        <v>1628</v>
      </c>
      <c r="D1572" s="369">
        <v>43830</v>
      </c>
      <c r="E1572" s="378">
        <v>60</v>
      </c>
      <c r="F1572" s="254">
        <v>23289.08</v>
      </c>
      <c r="G1572" s="252">
        <v>6953</v>
      </c>
      <c r="H1572" s="252"/>
      <c r="I1572" s="126">
        <f t="shared" si="94"/>
        <v>30242.080000000002</v>
      </c>
      <c r="J1572" s="126">
        <f t="shared" si="95"/>
        <v>30242.080000000002</v>
      </c>
      <c r="K1572" s="94"/>
      <c r="M1572" s="95"/>
    </row>
    <row r="1573" spans="2:13" ht="24" outlineLevel="1" x14ac:dyDescent="0.2">
      <c r="B1573" s="99" t="s">
        <v>1631</v>
      </c>
      <c r="C1573" s="375" t="s">
        <v>1264</v>
      </c>
      <c r="D1573" s="369">
        <v>43830</v>
      </c>
      <c r="E1573" s="378">
        <v>30</v>
      </c>
      <c r="F1573" s="304"/>
      <c r="G1573" s="252">
        <v>6953</v>
      </c>
      <c r="H1573" s="252"/>
      <c r="I1573" s="126">
        <f t="shared" si="94"/>
        <v>6953</v>
      </c>
      <c r="J1573" s="126">
        <f t="shared" si="95"/>
        <v>6953</v>
      </c>
      <c r="K1573" s="94"/>
      <c r="M1573" s="95"/>
    </row>
    <row r="1574" spans="2:13" ht="24" outlineLevel="1" x14ac:dyDescent="0.2">
      <c r="B1574" s="99" t="s">
        <v>1632</v>
      </c>
      <c r="C1574" s="375" t="s">
        <v>1633</v>
      </c>
      <c r="D1574" s="369">
        <v>43830</v>
      </c>
      <c r="E1574" s="378">
        <v>80</v>
      </c>
      <c r="F1574" s="254">
        <v>37721.85</v>
      </c>
      <c r="G1574" s="252">
        <v>10904.46</v>
      </c>
      <c r="H1574" s="252"/>
      <c r="I1574" s="126">
        <f t="shared" si="94"/>
        <v>48626.31</v>
      </c>
      <c r="J1574" s="126">
        <f t="shared" si="95"/>
        <v>48626.31</v>
      </c>
      <c r="K1574" s="94"/>
      <c r="M1574" s="95"/>
    </row>
    <row r="1575" spans="2:13" outlineLevel="1" x14ac:dyDescent="0.2">
      <c r="B1575" s="99" t="s">
        <v>1634</v>
      </c>
      <c r="C1575" s="375" t="s">
        <v>1635</v>
      </c>
      <c r="D1575" s="369">
        <v>43830</v>
      </c>
      <c r="E1575" s="378">
        <v>30</v>
      </c>
      <c r="F1575" s="304"/>
      <c r="G1575" s="252">
        <v>12713.26</v>
      </c>
      <c r="H1575" s="252"/>
      <c r="I1575" s="126">
        <f t="shared" si="94"/>
        <v>12713.26</v>
      </c>
      <c r="J1575" s="126">
        <f t="shared" si="95"/>
        <v>12713.26</v>
      </c>
      <c r="K1575" s="94"/>
      <c r="M1575" s="95"/>
    </row>
    <row r="1576" spans="2:13" outlineLevel="1" x14ac:dyDescent="0.2">
      <c r="B1576" s="99" t="s">
        <v>1636</v>
      </c>
      <c r="C1576" s="375" t="s">
        <v>1637</v>
      </c>
      <c r="D1576" s="369">
        <v>43830</v>
      </c>
      <c r="E1576" s="378">
        <v>70</v>
      </c>
      <c r="F1576" s="254">
        <v>27248.31</v>
      </c>
      <c r="G1576" s="252">
        <v>10956.19</v>
      </c>
      <c r="H1576" s="252"/>
      <c r="I1576" s="126">
        <f t="shared" si="94"/>
        <v>38204.5</v>
      </c>
      <c r="J1576" s="126">
        <f t="shared" si="95"/>
        <v>38204.5</v>
      </c>
      <c r="K1576" s="94"/>
      <c r="M1576" s="95"/>
    </row>
    <row r="1577" spans="2:13" ht="24" outlineLevel="1" x14ac:dyDescent="0.2">
      <c r="B1577" s="99" t="s">
        <v>1638</v>
      </c>
      <c r="C1577" s="375" t="s">
        <v>1639</v>
      </c>
      <c r="D1577" s="369">
        <v>43830</v>
      </c>
      <c r="E1577" s="378">
        <v>68</v>
      </c>
      <c r="F1577" s="254">
        <v>29760.720000000001</v>
      </c>
      <c r="G1577" s="252">
        <v>8096.62</v>
      </c>
      <c r="H1577" s="252"/>
      <c r="I1577" s="126">
        <f t="shared" si="94"/>
        <v>37857.340000000004</v>
      </c>
      <c r="J1577" s="126">
        <f t="shared" si="95"/>
        <v>37857.340000000004</v>
      </c>
      <c r="K1577" s="94"/>
      <c r="M1577" s="95"/>
    </row>
    <row r="1578" spans="2:13" ht="24" outlineLevel="1" x14ac:dyDescent="0.2">
      <c r="B1578" s="99" t="s">
        <v>1640</v>
      </c>
      <c r="C1578" s="375" t="s">
        <v>1617</v>
      </c>
      <c r="D1578" s="369">
        <v>43830</v>
      </c>
      <c r="E1578" s="378">
        <v>60</v>
      </c>
      <c r="F1578" s="254">
        <v>62343.18</v>
      </c>
      <c r="G1578" s="252">
        <v>8203.85</v>
      </c>
      <c r="H1578" s="252"/>
      <c r="I1578" s="126">
        <f t="shared" si="94"/>
        <v>70547.03</v>
      </c>
      <c r="J1578" s="126">
        <f t="shared" si="95"/>
        <v>70547.03</v>
      </c>
      <c r="K1578" s="94"/>
      <c r="M1578" s="95"/>
    </row>
    <row r="1579" spans="2:13" ht="24" outlineLevel="1" x14ac:dyDescent="0.2">
      <c r="B1579" s="99" t="s">
        <v>1641</v>
      </c>
      <c r="C1579" s="375" t="s">
        <v>1642</v>
      </c>
      <c r="D1579" s="369">
        <v>43830</v>
      </c>
      <c r="E1579" s="378">
        <v>60</v>
      </c>
      <c r="F1579" s="254">
        <v>34649.54</v>
      </c>
      <c r="G1579" s="252">
        <v>11257.86</v>
      </c>
      <c r="H1579" s="252"/>
      <c r="I1579" s="126">
        <f t="shared" si="94"/>
        <v>45907.4</v>
      </c>
      <c r="J1579" s="126">
        <f t="shared" si="95"/>
        <v>45907.4</v>
      </c>
      <c r="K1579" s="94"/>
      <c r="M1579" s="95"/>
    </row>
    <row r="1580" spans="2:13" ht="24" outlineLevel="1" x14ac:dyDescent="0.2">
      <c r="B1580" s="99" t="s">
        <v>1643</v>
      </c>
      <c r="C1580" s="375" t="s">
        <v>1519</v>
      </c>
      <c r="D1580" s="369">
        <v>43830</v>
      </c>
      <c r="E1580" s="378">
        <v>70</v>
      </c>
      <c r="F1580" s="254">
        <v>28977.07</v>
      </c>
      <c r="G1580" s="252">
        <v>11257.86</v>
      </c>
      <c r="H1580" s="252"/>
      <c r="I1580" s="126">
        <f t="shared" si="94"/>
        <v>40234.93</v>
      </c>
      <c r="J1580" s="126">
        <f t="shared" si="95"/>
        <v>40234.93</v>
      </c>
      <c r="K1580" s="94"/>
      <c r="M1580" s="95"/>
    </row>
    <row r="1581" spans="2:13" outlineLevel="1" x14ac:dyDescent="0.2">
      <c r="B1581" s="99" t="s">
        <v>1644</v>
      </c>
      <c r="C1581" s="375" t="s">
        <v>1645</v>
      </c>
      <c r="D1581" s="369">
        <v>43830</v>
      </c>
      <c r="E1581" s="378">
        <v>80</v>
      </c>
      <c r="F1581" s="254">
        <v>36888.68</v>
      </c>
      <c r="G1581" s="252">
        <v>8540.7999999999993</v>
      </c>
      <c r="H1581" s="252"/>
      <c r="I1581" s="126">
        <f t="shared" si="94"/>
        <v>45429.479999999996</v>
      </c>
      <c r="J1581" s="126">
        <f t="shared" si="95"/>
        <v>45429.479999999996</v>
      </c>
      <c r="K1581" s="94"/>
      <c r="M1581" s="95"/>
    </row>
    <row r="1582" spans="2:13" ht="24" outlineLevel="1" x14ac:dyDescent="0.2">
      <c r="B1582" s="99" t="s">
        <v>1646</v>
      </c>
      <c r="C1582" s="375" t="s">
        <v>1647</v>
      </c>
      <c r="D1582" s="369">
        <v>43830</v>
      </c>
      <c r="E1582" s="378">
        <v>70</v>
      </c>
      <c r="F1582" s="254">
        <v>39399.07</v>
      </c>
      <c r="G1582" s="252">
        <v>8540.7999999999993</v>
      </c>
      <c r="H1582" s="252"/>
      <c r="I1582" s="126">
        <f t="shared" si="94"/>
        <v>47939.869999999995</v>
      </c>
      <c r="J1582" s="126">
        <f t="shared" si="95"/>
        <v>47939.869999999995</v>
      </c>
      <c r="K1582" s="94"/>
      <c r="M1582" s="95"/>
    </row>
    <row r="1583" spans="2:13" outlineLevel="1" x14ac:dyDescent="0.2">
      <c r="B1583" s="99" t="s">
        <v>1648</v>
      </c>
      <c r="C1583" s="375" t="s">
        <v>1628</v>
      </c>
      <c r="D1583" s="369">
        <v>43830</v>
      </c>
      <c r="E1583" s="378">
        <v>60</v>
      </c>
      <c r="F1583" s="254">
        <v>36506.36</v>
      </c>
      <c r="G1583" s="252">
        <v>8459.89</v>
      </c>
      <c r="H1583" s="252"/>
      <c r="I1583" s="126">
        <f t="shared" si="94"/>
        <v>44966.25</v>
      </c>
      <c r="J1583" s="126">
        <f t="shared" si="95"/>
        <v>44966.25</v>
      </c>
      <c r="K1583" s="94"/>
      <c r="M1583" s="95"/>
    </row>
    <row r="1584" spans="2:13" outlineLevel="1" x14ac:dyDescent="0.2">
      <c r="B1584" s="99" t="s">
        <v>1649</v>
      </c>
      <c r="C1584" s="341"/>
      <c r="D1584" s="369">
        <v>43830</v>
      </c>
      <c r="E1584" s="378"/>
      <c r="F1584" s="304"/>
      <c r="G1584" s="252">
        <v>11228.68</v>
      </c>
      <c r="H1584" s="252"/>
      <c r="I1584" s="126">
        <f t="shared" si="94"/>
        <v>11228.68</v>
      </c>
      <c r="J1584" s="126">
        <f t="shared" si="95"/>
        <v>11228.68</v>
      </c>
      <c r="K1584" s="94"/>
      <c r="M1584" s="95"/>
    </row>
    <row r="1585" spans="2:13" ht="24" outlineLevel="1" x14ac:dyDescent="0.2">
      <c r="B1585" s="99" t="s">
        <v>1650</v>
      </c>
      <c r="C1585" s="375" t="s">
        <v>1651</v>
      </c>
      <c r="D1585" s="369">
        <v>43830</v>
      </c>
      <c r="E1585" s="378">
        <v>35</v>
      </c>
      <c r="F1585" s="304"/>
      <c r="G1585" s="252">
        <v>8436.56</v>
      </c>
      <c r="H1585" s="252"/>
      <c r="I1585" s="126">
        <f t="shared" si="94"/>
        <v>8436.56</v>
      </c>
      <c r="J1585" s="126">
        <f t="shared" si="95"/>
        <v>8436.56</v>
      </c>
      <c r="K1585" s="94"/>
      <c r="M1585" s="95"/>
    </row>
    <row r="1586" spans="2:13" ht="24" outlineLevel="1" x14ac:dyDescent="0.2">
      <c r="B1586" s="99" t="s">
        <v>1652</v>
      </c>
      <c r="C1586" s="375" t="s">
        <v>1653</v>
      </c>
      <c r="D1586" s="369">
        <v>43830</v>
      </c>
      <c r="E1586" s="378">
        <v>65</v>
      </c>
      <c r="F1586" s="254">
        <v>33592.370000000003</v>
      </c>
      <c r="G1586" s="252">
        <v>11176.95</v>
      </c>
      <c r="H1586" s="252"/>
      <c r="I1586" s="126">
        <f t="shared" si="94"/>
        <v>44769.320000000007</v>
      </c>
      <c r="J1586" s="126">
        <f t="shared" si="95"/>
        <v>44769.320000000007</v>
      </c>
      <c r="K1586" s="94"/>
      <c r="M1586" s="95"/>
    </row>
    <row r="1587" spans="2:13" ht="24" outlineLevel="1" x14ac:dyDescent="0.2">
      <c r="B1587" s="99" t="s">
        <v>1654</v>
      </c>
      <c r="C1587" s="375" t="s">
        <v>1655</v>
      </c>
      <c r="D1587" s="369">
        <v>43830</v>
      </c>
      <c r="E1587" s="378">
        <v>30</v>
      </c>
      <c r="F1587" s="304"/>
      <c r="G1587" s="252">
        <v>5915.32</v>
      </c>
      <c r="H1587" s="252"/>
      <c r="I1587" s="126">
        <f t="shared" si="94"/>
        <v>5915.32</v>
      </c>
      <c r="J1587" s="126">
        <f t="shared" si="95"/>
        <v>5915.32</v>
      </c>
      <c r="K1587" s="94"/>
      <c r="M1587" s="95"/>
    </row>
    <row r="1588" spans="2:13" ht="24" outlineLevel="1" x14ac:dyDescent="0.2">
      <c r="B1588" s="99" t="s">
        <v>1656</v>
      </c>
      <c r="C1588" s="375" t="s">
        <v>1657</v>
      </c>
      <c r="D1588" s="369">
        <v>43830</v>
      </c>
      <c r="E1588" s="378">
        <v>80</v>
      </c>
      <c r="F1588" s="257">
        <v>246161</v>
      </c>
      <c r="G1588" s="252">
        <v>26422.83</v>
      </c>
      <c r="H1588" s="252"/>
      <c r="I1588" s="126">
        <f t="shared" si="94"/>
        <v>272583.83</v>
      </c>
      <c r="J1588" s="126">
        <f t="shared" si="95"/>
        <v>272583.83</v>
      </c>
      <c r="K1588" s="94"/>
      <c r="M1588" s="95"/>
    </row>
    <row r="1589" spans="2:13" ht="24" outlineLevel="1" x14ac:dyDescent="0.2">
      <c r="B1589" s="99" t="s">
        <v>1658</v>
      </c>
      <c r="C1589" s="375" t="s">
        <v>1647</v>
      </c>
      <c r="D1589" s="369">
        <v>43830</v>
      </c>
      <c r="E1589" s="378">
        <v>30</v>
      </c>
      <c r="F1589" s="304"/>
      <c r="G1589" s="252">
        <v>10568.04</v>
      </c>
      <c r="H1589" s="252"/>
      <c r="I1589" s="126">
        <f t="shared" si="94"/>
        <v>10568.04</v>
      </c>
      <c r="J1589" s="126">
        <f t="shared" si="95"/>
        <v>10568.04</v>
      </c>
      <c r="K1589" s="94"/>
      <c r="M1589" s="95"/>
    </row>
    <row r="1590" spans="2:13" ht="24" outlineLevel="1" x14ac:dyDescent="0.2">
      <c r="B1590" s="99" t="s">
        <v>1659</v>
      </c>
      <c r="C1590" s="375" t="s">
        <v>1509</v>
      </c>
      <c r="D1590" s="369">
        <v>43830</v>
      </c>
      <c r="E1590" s="378">
        <v>70</v>
      </c>
      <c r="F1590" s="254">
        <v>80074.429999999993</v>
      </c>
      <c r="G1590" s="252">
        <v>25668.03</v>
      </c>
      <c r="H1590" s="252"/>
      <c r="I1590" s="126">
        <f t="shared" si="94"/>
        <v>105742.45999999999</v>
      </c>
      <c r="J1590" s="126">
        <f t="shared" si="95"/>
        <v>105742.45999999999</v>
      </c>
      <c r="K1590" s="94"/>
      <c r="M1590" s="95"/>
    </row>
    <row r="1591" spans="2:13" ht="24" outlineLevel="1" x14ac:dyDescent="0.2">
      <c r="B1591" s="99" t="s">
        <v>1660</v>
      </c>
      <c r="C1591" s="375" t="s">
        <v>1418</v>
      </c>
      <c r="D1591" s="369">
        <v>43830</v>
      </c>
      <c r="E1591" s="378">
        <v>30</v>
      </c>
      <c r="F1591" s="304"/>
      <c r="G1591" s="252">
        <v>24368.94</v>
      </c>
      <c r="H1591" s="252"/>
      <c r="I1591" s="126">
        <f t="shared" si="94"/>
        <v>24368.94</v>
      </c>
      <c r="J1591" s="126">
        <f t="shared" si="95"/>
        <v>24368.94</v>
      </c>
      <c r="K1591" s="94"/>
      <c r="M1591" s="95"/>
    </row>
    <row r="1592" spans="2:13" outlineLevel="1" x14ac:dyDescent="0.2">
      <c r="B1592" s="99" t="s">
        <v>1661</v>
      </c>
      <c r="C1592" s="375" t="s">
        <v>1662</v>
      </c>
      <c r="D1592" s="369">
        <v>43830</v>
      </c>
      <c r="E1592" s="378">
        <v>60</v>
      </c>
      <c r="F1592" s="254">
        <v>85278.49</v>
      </c>
      <c r="G1592" s="252">
        <v>19952.04</v>
      </c>
      <c r="H1592" s="252"/>
      <c r="I1592" s="126">
        <f t="shared" si="94"/>
        <v>105230.53</v>
      </c>
      <c r="J1592" s="126">
        <f t="shared" si="95"/>
        <v>105230.53</v>
      </c>
      <c r="K1592" s="94"/>
      <c r="M1592" s="95"/>
    </row>
    <row r="1593" spans="2:13" ht="24" outlineLevel="1" x14ac:dyDescent="0.2">
      <c r="B1593" s="99" t="s">
        <v>1663</v>
      </c>
      <c r="C1593" s="375" t="s">
        <v>1519</v>
      </c>
      <c r="D1593" s="369">
        <v>43830</v>
      </c>
      <c r="E1593" s="378">
        <v>60</v>
      </c>
      <c r="F1593" s="254">
        <v>102802.54</v>
      </c>
      <c r="G1593" s="252">
        <v>17029.3</v>
      </c>
      <c r="H1593" s="252"/>
      <c r="I1593" s="126">
        <f t="shared" si="94"/>
        <v>119831.84</v>
      </c>
      <c r="J1593" s="126">
        <f t="shared" si="95"/>
        <v>119831.84</v>
      </c>
      <c r="K1593" s="94"/>
      <c r="M1593" s="95"/>
    </row>
    <row r="1594" spans="2:13" ht="24" outlineLevel="1" x14ac:dyDescent="0.2">
      <c r="B1594" s="99" t="s">
        <v>1664</v>
      </c>
      <c r="C1594" s="375" t="s">
        <v>1665</v>
      </c>
      <c r="D1594" s="369">
        <v>43830</v>
      </c>
      <c r="E1594" s="378">
        <v>80</v>
      </c>
      <c r="F1594" s="254">
        <v>1543028.97</v>
      </c>
      <c r="G1594" s="252">
        <v>78180</v>
      </c>
      <c r="H1594" s="252">
        <v>243631.54</v>
      </c>
      <c r="I1594" s="126">
        <f t="shared" si="94"/>
        <v>1864840.51</v>
      </c>
      <c r="J1594" s="126">
        <f t="shared" si="95"/>
        <v>1864840.51</v>
      </c>
      <c r="K1594" s="94"/>
      <c r="M1594" s="95"/>
    </row>
    <row r="1595" spans="2:13" ht="24" outlineLevel="1" x14ac:dyDescent="0.2">
      <c r="B1595" s="99" t="s">
        <v>1666</v>
      </c>
      <c r="C1595" s="375" t="s">
        <v>1667</v>
      </c>
      <c r="D1595" s="369">
        <v>43830</v>
      </c>
      <c r="E1595" s="378">
        <v>80</v>
      </c>
      <c r="F1595" s="254">
        <v>91544.97</v>
      </c>
      <c r="G1595" s="252">
        <v>11804</v>
      </c>
      <c r="H1595" s="252"/>
      <c r="I1595" s="126">
        <f t="shared" si="94"/>
        <v>103348.97</v>
      </c>
      <c r="J1595" s="126">
        <f t="shared" si="95"/>
        <v>103348.97</v>
      </c>
      <c r="K1595" s="94"/>
      <c r="M1595" s="95"/>
    </row>
    <row r="1596" spans="2:13" ht="24" outlineLevel="1" x14ac:dyDescent="0.2">
      <c r="B1596" s="99" t="s">
        <v>1668</v>
      </c>
      <c r="C1596" s="375" t="s">
        <v>1470</v>
      </c>
      <c r="D1596" s="369">
        <v>43830</v>
      </c>
      <c r="E1596" s="378">
        <v>70</v>
      </c>
      <c r="F1596" s="257">
        <v>54074</v>
      </c>
      <c r="G1596" s="252">
        <v>8741.93</v>
      </c>
      <c r="H1596" s="252"/>
      <c r="I1596" s="126">
        <f t="shared" si="94"/>
        <v>62815.93</v>
      </c>
      <c r="J1596" s="126">
        <f t="shared" si="95"/>
        <v>62815.93</v>
      </c>
      <c r="K1596" s="94"/>
      <c r="M1596" s="95"/>
    </row>
    <row r="1597" spans="2:13" ht="12" customHeight="1" outlineLevel="1" x14ac:dyDescent="0.2">
      <c r="B1597" s="99" t="s">
        <v>1669</v>
      </c>
      <c r="C1597" s="375" t="s">
        <v>1670</v>
      </c>
      <c r="D1597" s="369">
        <v>43830</v>
      </c>
      <c r="E1597" s="378">
        <v>50</v>
      </c>
      <c r="F1597" s="255">
        <v>3071.9</v>
      </c>
      <c r="G1597" s="252">
        <v>10303.719999999999</v>
      </c>
      <c r="H1597" s="252"/>
      <c r="I1597" s="126">
        <f t="shared" si="94"/>
        <v>13375.619999999999</v>
      </c>
      <c r="J1597" s="126">
        <f t="shared" si="95"/>
        <v>13375.619999999999</v>
      </c>
      <c r="K1597" s="94"/>
      <c r="M1597" s="95"/>
    </row>
    <row r="1598" spans="2:13" ht="12" customHeight="1" outlineLevel="1" x14ac:dyDescent="0.2">
      <c r="B1598" s="99" t="s">
        <v>1671</v>
      </c>
      <c r="C1598" s="375" t="s">
        <v>1349</v>
      </c>
      <c r="D1598" s="369">
        <v>43830</v>
      </c>
      <c r="E1598" s="378">
        <v>50</v>
      </c>
      <c r="F1598" s="254">
        <v>41172.89</v>
      </c>
      <c r="G1598" s="252">
        <v>2173.65</v>
      </c>
      <c r="H1598" s="252"/>
      <c r="I1598" s="126">
        <f t="shared" si="94"/>
        <v>43346.54</v>
      </c>
      <c r="J1598" s="126">
        <f t="shared" si="95"/>
        <v>43346.54</v>
      </c>
      <c r="K1598" s="94"/>
      <c r="M1598" s="95"/>
    </row>
    <row r="1599" spans="2:13" ht="12" customHeight="1" outlineLevel="1" x14ac:dyDescent="0.2">
      <c r="B1599" s="99" t="s">
        <v>1672</v>
      </c>
      <c r="C1599" s="375" t="s">
        <v>1236</v>
      </c>
      <c r="D1599" s="369">
        <v>43830</v>
      </c>
      <c r="E1599" s="378">
        <v>50</v>
      </c>
      <c r="F1599" s="254">
        <v>51366.18</v>
      </c>
      <c r="G1599" s="252">
        <v>10956.96</v>
      </c>
      <c r="H1599" s="252"/>
      <c r="I1599" s="126">
        <f t="shared" si="94"/>
        <v>62323.14</v>
      </c>
      <c r="J1599" s="126">
        <f t="shared" si="95"/>
        <v>62323.14</v>
      </c>
      <c r="K1599" s="94"/>
      <c r="M1599" s="95"/>
    </row>
    <row r="1600" spans="2:13" ht="12" customHeight="1" outlineLevel="1" x14ac:dyDescent="0.2">
      <c r="B1600" s="99" t="s">
        <v>1673</v>
      </c>
      <c r="C1600" s="375" t="s">
        <v>1482</v>
      </c>
      <c r="D1600" s="369">
        <v>43830</v>
      </c>
      <c r="E1600" s="378">
        <v>40</v>
      </c>
      <c r="F1600" s="254">
        <v>25370.25</v>
      </c>
      <c r="G1600" s="252"/>
      <c r="H1600" s="252"/>
      <c r="I1600" s="126">
        <f t="shared" si="94"/>
        <v>25370.25</v>
      </c>
      <c r="J1600" s="126">
        <f t="shared" si="95"/>
        <v>25370.25</v>
      </c>
      <c r="K1600" s="94"/>
      <c r="M1600" s="95"/>
    </row>
    <row r="1601" spans="2:13" ht="24" outlineLevel="1" x14ac:dyDescent="0.2">
      <c r="B1601" s="99" t="s">
        <v>1674</v>
      </c>
      <c r="C1601" s="375" t="s">
        <v>1675</v>
      </c>
      <c r="D1601" s="369">
        <v>43830</v>
      </c>
      <c r="E1601" s="378">
        <v>30</v>
      </c>
      <c r="F1601" s="304"/>
      <c r="G1601" s="252">
        <v>23493.37</v>
      </c>
      <c r="H1601" s="252"/>
      <c r="I1601" s="126">
        <f t="shared" si="94"/>
        <v>23493.37</v>
      </c>
      <c r="J1601" s="126">
        <f t="shared" si="95"/>
        <v>23493.37</v>
      </c>
      <c r="K1601" s="94"/>
      <c r="M1601" s="95"/>
    </row>
    <row r="1602" spans="2:13" ht="24" outlineLevel="1" x14ac:dyDescent="0.2">
      <c r="B1602" s="99" t="s">
        <v>1676</v>
      </c>
      <c r="C1602" s="375" t="s">
        <v>1340</v>
      </c>
      <c r="D1602" s="369">
        <v>43830</v>
      </c>
      <c r="E1602" s="378">
        <v>30</v>
      </c>
      <c r="F1602" s="304"/>
      <c r="G1602" s="252">
        <v>16428.189999999999</v>
      </c>
      <c r="H1602" s="252"/>
      <c r="I1602" s="126">
        <f t="shared" si="94"/>
        <v>16428.189999999999</v>
      </c>
      <c r="J1602" s="126">
        <f t="shared" si="95"/>
        <v>16428.189999999999</v>
      </c>
      <c r="K1602" s="94"/>
      <c r="M1602" s="95"/>
    </row>
    <row r="1603" spans="2:13" ht="12" customHeight="1" outlineLevel="1" x14ac:dyDescent="0.2">
      <c r="B1603" s="99" t="s">
        <v>1677</v>
      </c>
      <c r="C1603" s="375" t="s">
        <v>1293</v>
      </c>
      <c r="D1603" s="369">
        <v>43830</v>
      </c>
      <c r="E1603" s="378">
        <v>30</v>
      </c>
      <c r="F1603" s="304"/>
      <c r="G1603" s="252">
        <v>8716.1</v>
      </c>
      <c r="H1603" s="252"/>
      <c r="I1603" s="126">
        <f t="shared" si="94"/>
        <v>8716.1</v>
      </c>
      <c r="J1603" s="126">
        <f t="shared" si="95"/>
        <v>8716.1</v>
      </c>
      <c r="K1603" s="94"/>
      <c r="M1603" s="95"/>
    </row>
    <row r="1604" spans="2:13" outlineLevel="1" x14ac:dyDescent="0.2">
      <c r="B1604" s="99" t="s">
        <v>1678</v>
      </c>
      <c r="C1604" s="375" t="s">
        <v>1470</v>
      </c>
      <c r="D1604" s="369">
        <v>43830</v>
      </c>
      <c r="E1604" s="378">
        <v>60</v>
      </c>
      <c r="F1604" s="254">
        <v>6119.85</v>
      </c>
      <c r="G1604" s="252">
        <v>8992.7900000000009</v>
      </c>
      <c r="H1604" s="252"/>
      <c r="I1604" s="126">
        <f t="shared" si="94"/>
        <v>15112.640000000001</v>
      </c>
      <c r="J1604" s="126">
        <f t="shared" si="95"/>
        <v>15112.640000000001</v>
      </c>
      <c r="K1604" s="94"/>
      <c r="M1604" s="95"/>
    </row>
    <row r="1605" spans="2:13" outlineLevel="1" x14ac:dyDescent="0.2">
      <c r="B1605" s="99" t="s">
        <v>1679</v>
      </c>
      <c r="C1605" s="375" t="s">
        <v>1233</v>
      </c>
      <c r="D1605" s="369">
        <v>43830</v>
      </c>
      <c r="E1605" s="378">
        <v>30</v>
      </c>
      <c r="F1605" s="304"/>
      <c r="G1605" s="252">
        <v>8992.7900000000009</v>
      </c>
      <c r="H1605" s="252"/>
      <c r="I1605" s="126">
        <f t="shared" si="94"/>
        <v>8992.7900000000009</v>
      </c>
      <c r="J1605" s="126">
        <f t="shared" si="95"/>
        <v>8992.7900000000009</v>
      </c>
      <c r="K1605" s="94"/>
      <c r="M1605" s="95"/>
    </row>
    <row r="1606" spans="2:13" ht="24" outlineLevel="1" x14ac:dyDescent="0.2">
      <c r="B1606" s="99" t="s">
        <v>1680</v>
      </c>
      <c r="C1606" s="375" t="s">
        <v>1480</v>
      </c>
      <c r="D1606" s="369">
        <v>43830</v>
      </c>
      <c r="E1606" s="378">
        <v>30</v>
      </c>
      <c r="F1606" s="304"/>
      <c r="G1606" s="252">
        <v>8992.7900000000009</v>
      </c>
      <c r="H1606" s="252"/>
      <c r="I1606" s="126">
        <f t="shared" si="94"/>
        <v>8992.7900000000009</v>
      </c>
      <c r="J1606" s="126">
        <f t="shared" si="95"/>
        <v>8992.7900000000009</v>
      </c>
      <c r="K1606" s="94"/>
      <c r="M1606" s="95"/>
    </row>
    <row r="1607" spans="2:13" ht="24" outlineLevel="1" x14ac:dyDescent="0.2">
      <c r="B1607" s="99" t="s">
        <v>1681</v>
      </c>
      <c r="C1607" s="375" t="s">
        <v>1480</v>
      </c>
      <c r="D1607" s="369">
        <v>43830</v>
      </c>
      <c r="E1607" s="378">
        <v>30</v>
      </c>
      <c r="F1607" s="304"/>
      <c r="G1607" s="252">
        <v>8992.7900000000009</v>
      </c>
      <c r="H1607" s="252"/>
      <c r="I1607" s="126">
        <f t="shared" si="94"/>
        <v>8992.7900000000009</v>
      </c>
      <c r="J1607" s="126">
        <f t="shared" si="95"/>
        <v>8992.7900000000009</v>
      </c>
      <c r="K1607" s="94"/>
      <c r="M1607" s="95"/>
    </row>
    <row r="1608" spans="2:13" outlineLevel="1" x14ac:dyDescent="0.2">
      <c r="B1608" s="99" t="s">
        <v>1682</v>
      </c>
      <c r="C1608" s="375" t="s">
        <v>1480</v>
      </c>
      <c r="D1608" s="369">
        <v>43830</v>
      </c>
      <c r="E1608" s="378">
        <v>30</v>
      </c>
      <c r="F1608" s="304"/>
      <c r="G1608" s="252">
        <v>8992.7900000000009</v>
      </c>
      <c r="H1608" s="252"/>
      <c r="I1608" s="126">
        <f t="shared" si="94"/>
        <v>8992.7900000000009</v>
      </c>
      <c r="J1608" s="126">
        <f t="shared" si="95"/>
        <v>8992.7900000000009</v>
      </c>
      <c r="K1608" s="94"/>
      <c r="M1608" s="95"/>
    </row>
    <row r="1609" spans="2:13" outlineLevel="1" x14ac:dyDescent="0.2">
      <c r="B1609" s="99" t="s">
        <v>1683</v>
      </c>
      <c r="C1609" s="375" t="s">
        <v>1480</v>
      </c>
      <c r="D1609" s="369">
        <v>43830</v>
      </c>
      <c r="E1609" s="378">
        <v>30</v>
      </c>
      <c r="F1609" s="304"/>
      <c r="G1609" s="252">
        <v>8992.7900000000009</v>
      </c>
      <c r="H1609" s="252"/>
      <c r="I1609" s="126">
        <f t="shared" si="94"/>
        <v>8992.7900000000009</v>
      </c>
      <c r="J1609" s="126">
        <f t="shared" si="95"/>
        <v>8992.7900000000009</v>
      </c>
      <c r="K1609" s="94"/>
      <c r="M1609" s="95"/>
    </row>
    <row r="1610" spans="2:13" ht="24" outlineLevel="1" x14ac:dyDescent="0.2">
      <c r="B1610" s="99" t="s">
        <v>1684</v>
      </c>
      <c r="C1610" s="375" t="s">
        <v>1262</v>
      </c>
      <c r="D1610" s="369">
        <v>43830</v>
      </c>
      <c r="E1610" s="378">
        <v>30</v>
      </c>
      <c r="F1610" s="304"/>
      <c r="G1610" s="252">
        <v>8992.7900000000009</v>
      </c>
      <c r="H1610" s="252"/>
      <c r="I1610" s="126">
        <f t="shared" si="94"/>
        <v>8992.7900000000009</v>
      </c>
      <c r="J1610" s="126">
        <f t="shared" si="95"/>
        <v>8992.7900000000009</v>
      </c>
      <c r="K1610" s="94"/>
      <c r="M1610" s="95"/>
    </row>
    <row r="1611" spans="2:13" outlineLevel="1" x14ac:dyDescent="0.2">
      <c r="B1611" s="99" t="s">
        <v>1685</v>
      </c>
      <c r="C1611" s="375" t="s">
        <v>1686</v>
      </c>
      <c r="D1611" s="369">
        <v>43830</v>
      </c>
      <c r="E1611" s="378">
        <v>30</v>
      </c>
      <c r="F1611" s="304"/>
      <c r="G1611" s="252">
        <v>2042.77</v>
      </c>
      <c r="H1611" s="252"/>
      <c r="I1611" s="126">
        <f t="shared" si="94"/>
        <v>2042.77</v>
      </c>
      <c r="J1611" s="126">
        <f t="shared" si="95"/>
        <v>2042.77</v>
      </c>
      <c r="K1611" s="94"/>
      <c r="M1611" s="95"/>
    </row>
    <row r="1612" spans="2:13" ht="12" customHeight="1" outlineLevel="1" x14ac:dyDescent="0.2">
      <c r="B1612" s="99" t="s">
        <v>1687</v>
      </c>
      <c r="C1612" s="375" t="s">
        <v>1482</v>
      </c>
      <c r="D1612" s="369">
        <v>43830</v>
      </c>
      <c r="E1612" s="378">
        <v>30</v>
      </c>
      <c r="F1612" s="304"/>
      <c r="G1612" s="252">
        <v>2042.77</v>
      </c>
      <c r="H1612" s="252"/>
      <c r="I1612" s="126">
        <f t="shared" si="94"/>
        <v>2042.77</v>
      </c>
      <c r="J1612" s="126">
        <f t="shared" si="95"/>
        <v>2042.77</v>
      </c>
      <c r="K1612" s="94"/>
      <c r="M1612" s="95"/>
    </row>
    <row r="1613" spans="2:13" ht="12" customHeight="1" outlineLevel="1" x14ac:dyDescent="0.2">
      <c r="B1613" s="99" t="s">
        <v>1688</v>
      </c>
      <c r="C1613" s="375" t="s">
        <v>1482</v>
      </c>
      <c r="D1613" s="369">
        <v>43830</v>
      </c>
      <c r="E1613" s="378"/>
      <c r="F1613" s="304"/>
      <c r="G1613" s="252">
        <v>2042.77</v>
      </c>
      <c r="H1613" s="252"/>
      <c r="I1613" s="126">
        <f t="shared" si="94"/>
        <v>2042.77</v>
      </c>
      <c r="J1613" s="126">
        <f t="shared" si="95"/>
        <v>2042.77</v>
      </c>
      <c r="K1613" s="94"/>
      <c r="M1613" s="95"/>
    </row>
    <row r="1614" spans="2:13" ht="12" customHeight="1" outlineLevel="1" x14ac:dyDescent="0.2">
      <c r="B1614" s="99" t="s">
        <v>1689</v>
      </c>
      <c r="C1614" s="375" t="s">
        <v>1470</v>
      </c>
      <c r="D1614" s="369">
        <v>43830</v>
      </c>
      <c r="E1614" s="378">
        <v>80</v>
      </c>
      <c r="F1614" s="304"/>
      <c r="G1614" s="252">
        <v>2042.77</v>
      </c>
      <c r="H1614" s="252"/>
      <c r="I1614" s="126">
        <f t="shared" si="94"/>
        <v>2042.77</v>
      </c>
      <c r="J1614" s="126">
        <f t="shared" si="95"/>
        <v>2042.77</v>
      </c>
      <c r="K1614" s="94"/>
      <c r="M1614" s="95"/>
    </row>
    <row r="1615" spans="2:13" ht="12" customHeight="1" outlineLevel="1" x14ac:dyDescent="0.2">
      <c r="B1615" s="99" t="s">
        <v>1690</v>
      </c>
      <c r="C1615" s="375" t="s">
        <v>1527</v>
      </c>
      <c r="D1615" s="369">
        <v>43830</v>
      </c>
      <c r="E1615" s="378">
        <v>80</v>
      </c>
      <c r="F1615" s="304"/>
      <c r="G1615" s="252">
        <v>2042.77</v>
      </c>
      <c r="H1615" s="252"/>
      <c r="I1615" s="126">
        <f t="shared" si="94"/>
        <v>2042.77</v>
      </c>
      <c r="J1615" s="126">
        <f t="shared" si="95"/>
        <v>2042.77</v>
      </c>
      <c r="K1615" s="94"/>
      <c r="M1615" s="95"/>
    </row>
    <row r="1616" spans="2:13" ht="12" customHeight="1" outlineLevel="1" x14ac:dyDescent="0.2">
      <c r="B1616" s="99" t="s">
        <v>1691</v>
      </c>
      <c r="C1616" s="375" t="s">
        <v>1527</v>
      </c>
      <c r="D1616" s="369">
        <v>43830</v>
      </c>
      <c r="E1616" s="378">
        <v>80</v>
      </c>
      <c r="F1616" s="304"/>
      <c r="G1616" s="252">
        <v>2042.77</v>
      </c>
      <c r="H1616" s="252"/>
      <c r="I1616" s="126">
        <f t="shared" si="94"/>
        <v>2042.77</v>
      </c>
      <c r="J1616" s="126">
        <f t="shared" si="95"/>
        <v>2042.77</v>
      </c>
      <c r="K1616" s="94"/>
      <c r="M1616" s="95"/>
    </row>
    <row r="1617" spans="2:13" ht="12" customHeight="1" outlineLevel="1" x14ac:dyDescent="0.2">
      <c r="B1617" s="99" t="s">
        <v>1692</v>
      </c>
      <c r="C1617" s="375" t="s">
        <v>1693</v>
      </c>
      <c r="D1617" s="369">
        <v>43830</v>
      </c>
      <c r="E1617" s="378">
        <v>80</v>
      </c>
      <c r="F1617" s="304"/>
      <c r="G1617" s="252">
        <v>2042.77</v>
      </c>
      <c r="H1617" s="252"/>
      <c r="I1617" s="126">
        <f t="shared" si="94"/>
        <v>2042.77</v>
      </c>
      <c r="J1617" s="126">
        <f t="shared" si="95"/>
        <v>2042.77</v>
      </c>
      <c r="K1617" s="94"/>
      <c r="M1617" s="95"/>
    </row>
    <row r="1618" spans="2:13" ht="12" customHeight="1" outlineLevel="1" x14ac:dyDescent="0.2">
      <c r="B1618" s="99" t="s">
        <v>1694</v>
      </c>
      <c r="C1618" s="382">
        <v>43376</v>
      </c>
      <c r="D1618" s="369">
        <v>43830</v>
      </c>
      <c r="E1618" s="378">
        <v>80</v>
      </c>
      <c r="F1618" s="304"/>
      <c r="G1618" s="252">
        <v>2042.77</v>
      </c>
      <c r="H1618" s="252"/>
      <c r="I1618" s="126">
        <f t="shared" si="94"/>
        <v>2042.77</v>
      </c>
      <c r="J1618" s="126">
        <f t="shared" si="95"/>
        <v>2042.77</v>
      </c>
      <c r="K1618" s="94"/>
      <c r="M1618" s="95"/>
    </row>
    <row r="1619" spans="2:13" ht="24" outlineLevel="1" x14ac:dyDescent="0.2">
      <c r="B1619" s="99" t="s">
        <v>1695</v>
      </c>
      <c r="C1619" s="375" t="s">
        <v>1470</v>
      </c>
      <c r="D1619" s="369">
        <v>43830</v>
      </c>
      <c r="E1619" s="378">
        <v>80</v>
      </c>
      <c r="F1619" s="304"/>
      <c r="G1619" s="252">
        <v>2042.77</v>
      </c>
      <c r="H1619" s="252"/>
      <c r="I1619" s="126">
        <f t="shared" si="94"/>
        <v>2042.77</v>
      </c>
      <c r="J1619" s="126">
        <f t="shared" si="95"/>
        <v>2042.77</v>
      </c>
      <c r="K1619" s="94"/>
      <c r="M1619" s="95"/>
    </row>
    <row r="1620" spans="2:13" ht="24" outlineLevel="1" x14ac:dyDescent="0.2">
      <c r="B1620" s="99" t="s">
        <v>1696</v>
      </c>
      <c r="C1620" s="375" t="s">
        <v>1300</v>
      </c>
      <c r="D1620" s="369">
        <v>43830</v>
      </c>
      <c r="E1620" s="378">
        <v>70</v>
      </c>
      <c r="F1620" s="304"/>
      <c r="G1620" s="252">
        <v>2042.77</v>
      </c>
      <c r="H1620" s="252"/>
      <c r="I1620" s="126">
        <f t="shared" si="94"/>
        <v>2042.77</v>
      </c>
      <c r="J1620" s="126">
        <f t="shared" si="95"/>
        <v>2042.77</v>
      </c>
      <c r="K1620" s="94"/>
      <c r="M1620" s="95"/>
    </row>
    <row r="1621" spans="2:13" ht="24" outlineLevel="1" x14ac:dyDescent="0.2">
      <c r="B1621" s="99" t="s">
        <v>1697</v>
      </c>
      <c r="C1621" s="375" t="s">
        <v>1698</v>
      </c>
      <c r="D1621" s="369">
        <v>43830</v>
      </c>
      <c r="E1621" s="378">
        <v>80</v>
      </c>
      <c r="F1621" s="304"/>
      <c r="G1621" s="252">
        <v>2042.77</v>
      </c>
      <c r="H1621" s="252"/>
      <c r="I1621" s="126">
        <f t="shared" si="94"/>
        <v>2042.77</v>
      </c>
      <c r="J1621" s="126">
        <f t="shared" si="95"/>
        <v>2042.77</v>
      </c>
      <c r="K1621" s="94"/>
      <c r="M1621" s="95"/>
    </row>
    <row r="1622" spans="2:13" ht="24" outlineLevel="1" x14ac:dyDescent="0.2">
      <c r="B1622" s="99" t="s">
        <v>1699</v>
      </c>
      <c r="C1622" s="375" t="s">
        <v>1319</v>
      </c>
      <c r="D1622" s="369">
        <v>43830</v>
      </c>
      <c r="E1622" s="378">
        <v>80</v>
      </c>
      <c r="F1622" s="304"/>
      <c r="G1622" s="252">
        <v>2042.77</v>
      </c>
      <c r="H1622" s="252"/>
      <c r="I1622" s="126">
        <f t="shared" ref="I1622:I1646" si="96">F1622+G1622+H1622</f>
        <v>2042.77</v>
      </c>
      <c r="J1622" s="126">
        <f t="shared" ref="J1622:J1646" si="97">I1622</f>
        <v>2042.77</v>
      </c>
      <c r="K1622" s="94"/>
      <c r="M1622" s="95"/>
    </row>
    <row r="1623" spans="2:13" ht="24" outlineLevel="1" x14ac:dyDescent="0.2">
      <c r="B1623" s="99" t="s">
        <v>1700</v>
      </c>
      <c r="C1623" s="382">
        <v>43371</v>
      </c>
      <c r="D1623" s="369">
        <v>43830</v>
      </c>
      <c r="E1623" s="378">
        <v>80</v>
      </c>
      <c r="F1623" s="304"/>
      <c r="G1623" s="252">
        <v>2042.77</v>
      </c>
      <c r="H1623" s="252"/>
      <c r="I1623" s="126">
        <f t="shared" si="96"/>
        <v>2042.77</v>
      </c>
      <c r="J1623" s="126">
        <f t="shared" si="97"/>
        <v>2042.77</v>
      </c>
      <c r="K1623" s="94"/>
      <c r="M1623" s="95"/>
    </row>
    <row r="1624" spans="2:13" ht="24" outlineLevel="1" x14ac:dyDescent="0.2">
      <c r="B1624" s="99" t="s">
        <v>1701</v>
      </c>
      <c r="C1624" s="375" t="s">
        <v>1342</v>
      </c>
      <c r="D1624" s="369">
        <v>43830</v>
      </c>
      <c r="E1624" s="378">
        <v>80</v>
      </c>
      <c r="F1624" s="304"/>
      <c r="G1624" s="252">
        <v>4216.42</v>
      </c>
      <c r="H1624" s="252"/>
      <c r="I1624" s="126">
        <f t="shared" si="96"/>
        <v>4216.42</v>
      </c>
      <c r="J1624" s="126">
        <f t="shared" si="97"/>
        <v>4216.42</v>
      </c>
      <c r="K1624" s="94"/>
      <c r="M1624" s="95"/>
    </row>
    <row r="1625" spans="2:13" outlineLevel="1" x14ac:dyDescent="0.2">
      <c r="B1625" s="99" t="s">
        <v>1702</v>
      </c>
      <c r="C1625" s="375" t="s">
        <v>1448</v>
      </c>
      <c r="D1625" s="369">
        <v>43830</v>
      </c>
      <c r="E1625" s="378">
        <v>80</v>
      </c>
      <c r="F1625" s="304"/>
      <c r="G1625" s="252">
        <v>2042.77</v>
      </c>
      <c r="H1625" s="252"/>
      <c r="I1625" s="126">
        <f t="shared" si="96"/>
        <v>2042.77</v>
      </c>
      <c r="J1625" s="126">
        <f t="shared" si="97"/>
        <v>2042.77</v>
      </c>
      <c r="K1625" s="94"/>
      <c r="M1625" s="95"/>
    </row>
    <row r="1626" spans="2:13" outlineLevel="1" x14ac:dyDescent="0.2">
      <c r="B1626" s="99" t="s">
        <v>1703</v>
      </c>
      <c r="C1626" s="375" t="s">
        <v>1285</v>
      </c>
      <c r="D1626" s="369">
        <v>43830</v>
      </c>
      <c r="E1626" s="378">
        <v>80</v>
      </c>
      <c r="F1626" s="304"/>
      <c r="G1626" s="252">
        <v>4216.51</v>
      </c>
      <c r="H1626" s="252"/>
      <c r="I1626" s="126">
        <f t="shared" si="96"/>
        <v>4216.51</v>
      </c>
      <c r="J1626" s="126">
        <f t="shared" si="97"/>
        <v>4216.51</v>
      </c>
      <c r="K1626" s="94"/>
      <c r="M1626" s="95"/>
    </row>
    <row r="1627" spans="2:13" ht="24" outlineLevel="1" x14ac:dyDescent="0.2">
      <c r="B1627" s="99" t="s">
        <v>1704</v>
      </c>
      <c r="C1627" s="375" t="s">
        <v>1274</v>
      </c>
      <c r="D1627" s="369">
        <v>43830</v>
      </c>
      <c r="E1627" s="378">
        <v>80</v>
      </c>
      <c r="F1627" s="304"/>
      <c r="G1627" s="252">
        <v>2042.77</v>
      </c>
      <c r="H1627" s="252"/>
      <c r="I1627" s="126">
        <f t="shared" si="96"/>
        <v>2042.77</v>
      </c>
      <c r="J1627" s="126">
        <f t="shared" si="97"/>
        <v>2042.77</v>
      </c>
      <c r="K1627" s="94"/>
      <c r="M1627" s="95"/>
    </row>
    <row r="1628" spans="2:13" ht="24" outlineLevel="1" x14ac:dyDescent="0.2">
      <c r="B1628" s="99" t="s">
        <v>1705</v>
      </c>
      <c r="C1628" s="375" t="s">
        <v>1470</v>
      </c>
      <c r="D1628" s="369">
        <v>43830</v>
      </c>
      <c r="E1628" s="378">
        <v>80</v>
      </c>
      <c r="F1628" s="304"/>
      <c r="G1628" s="252">
        <v>2042.77</v>
      </c>
      <c r="H1628" s="252"/>
      <c r="I1628" s="126">
        <f t="shared" si="96"/>
        <v>2042.77</v>
      </c>
      <c r="J1628" s="126">
        <f t="shared" si="97"/>
        <v>2042.77</v>
      </c>
      <c r="K1628" s="94"/>
      <c r="M1628" s="95"/>
    </row>
    <row r="1629" spans="2:13" outlineLevel="1" x14ac:dyDescent="0.2">
      <c r="B1629" s="99" t="s">
        <v>1706</v>
      </c>
      <c r="C1629" s="375" t="s">
        <v>1440</v>
      </c>
      <c r="D1629" s="369">
        <v>43830</v>
      </c>
      <c r="E1629" s="378">
        <v>30</v>
      </c>
      <c r="F1629" s="304"/>
      <c r="G1629" s="252">
        <v>2173.65</v>
      </c>
      <c r="H1629" s="252"/>
      <c r="I1629" s="126">
        <f t="shared" si="96"/>
        <v>2173.65</v>
      </c>
      <c r="J1629" s="126">
        <f t="shared" si="97"/>
        <v>2173.65</v>
      </c>
      <c r="K1629" s="94"/>
      <c r="M1629" s="95"/>
    </row>
    <row r="1630" spans="2:13" outlineLevel="1" x14ac:dyDescent="0.2">
      <c r="B1630" s="99" t="s">
        <v>1707</v>
      </c>
      <c r="C1630" s="375" t="s">
        <v>1708</v>
      </c>
      <c r="D1630" s="369">
        <v>43830</v>
      </c>
      <c r="E1630" s="378">
        <v>30</v>
      </c>
      <c r="F1630" s="255">
        <v>1588.5</v>
      </c>
      <c r="G1630" s="252">
        <v>2173.65</v>
      </c>
      <c r="H1630" s="252"/>
      <c r="I1630" s="126">
        <f t="shared" si="96"/>
        <v>3762.15</v>
      </c>
      <c r="J1630" s="126">
        <f t="shared" si="97"/>
        <v>3762.15</v>
      </c>
      <c r="K1630" s="94"/>
      <c r="M1630" s="95"/>
    </row>
    <row r="1631" spans="2:13" outlineLevel="1" x14ac:dyDescent="0.2">
      <c r="B1631" s="99" t="s">
        <v>1709</v>
      </c>
      <c r="C1631" s="375" t="s">
        <v>1710</v>
      </c>
      <c r="D1631" s="369">
        <v>43830</v>
      </c>
      <c r="E1631" s="378">
        <v>30</v>
      </c>
      <c r="F1631" s="304"/>
      <c r="G1631" s="252">
        <v>2173.65</v>
      </c>
      <c r="H1631" s="252"/>
      <c r="I1631" s="126">
        <f t="shared" si="96"/>
        <v>2173.65</v>
      </c>
      <c r="J1631" s="126">
        <f t="shared" si="97"/>
        <v>2173.65</v>
      </c>
      <c r="K1631" s="94"/>
      <c r="M1631" s="95"/>
    </row>
    <row r="1632" spans="2:13" outlineLevel="1" x14ac:dyDescent="0.2">
      <c r="B1632" s="99" t="s">
        <v>1711</v>
      </c>
      <c r="C1632" s="375" t="s">
        <v>1308</v>
      </c>
      <c r="D1632" s="369">
        <v>43830</v>
      </c>
      <c r="E1632" s="378">
        <v>30</v>
      </c>
      <c r="F1632" s="304"/>
      <c r="G1632" s="252">
        <v>2173.65</v>
      </c>
      <c r="H1632" s="252"/>
      <c r="I1632" s="126">
        <f t="shared" si="96"/>
        <v>2173.65</v>
      </c>
      <c r="J1632" s="126">
        <f t="shared" si="97"/>
        <v>2173.65</v>
      </c>
      <c r="K1632" s="94"/>
      <c r="M1632" s="95"/>
    </row>
    <row r="1633" spans="2:13" outlineLevel="1" x14ac:dyDescent="0.2">
      <c r="B1633" s="99" t="s">
        <v>1712</v>
      </c>
      <c r="C1633" s="375" t="s">
        <v>1713</v>
      </c>
      <c r="D1633" s="369">
        <v>43830</v>
      </c>
      <c r="E1633" s="378">
        <v>30</v>
      </c>
      <c r="F1633" s="304"/>
      <c r="G1633" s="252">
        <v>5719.5</v>
      </c>
      <c r="H1633" s="252"/>
      <c r="I1633" s="126">
        <f t="shared" si="96"/>
        <v>5719.5</v>
      </c>
      <c r="J1633" s="126">
        <f t="shared" si="97"/>
        <v>5719.5</v>
      </c>
      <c r="K1633" s="94"/>
      <c r="M1633" s="95"/>
    </row>
    <row r="1634" spans="2:13" outlineLevel="1" x14ac:dyDescent="0.2">
      <c r="B1634" s="99" t="s">
        <v>1714</v>
      </c>
      <c r="C1634" s="375" t="s">
        <v>1383</v>
      </c>
      <c r="D1634" s="369">
        <v>43830</v>
      </c>
      <c r="E1634" s="378">
        <v>30</v>
      </c>
      <c r="F1634" s="304"/>
      <c r="G1634" s="252">
        <v>5719.5</v>
      </c>
      <c r="H1634" s="252"/>
      <c r="I1634" s="126">
        <f t="shared" si="96"/>
        <v>5719.5</v>
      </c>
      <c r="J1634" s="126">
        <f t="shared" si="97"/>
        <v>5719.5</v>
      </c>
      <c r="K1634" s="94"/>
      <c r="M1634" s="95"/>
    </row>
    <row r="1635" spans="2:13" outlineLevel="1" x14ac:dyDescent="0.2">
      <c r="B1635" s="99" t="s">
        <v>1715</v>
      </c>
      <c r="C1635" s="375" t="s">
        <v>1693</v>
      </c>
      <c r="D1635" s="369">
        <v>43830</v>
      </c>
      <c r="E1635" s="378">
        <v>30</v>
      </c>
      <c r="F1635" s="304"/>
      <c r="G1635" s="252">
        <v>5719.5</v>
      </c>
      <c r="H1635" s="252"/>
      <c r="I1635" s="126">
        <f t="shared" si="96"/>
        <v>5719.5</v>
      </c>
      <c r="J1635" s="126">
        <f t="shared" si="97"/>
        <v>5719.5</v>
      </c>
      <c r="K1635" s="94"/>
      <c r="M1635" s="95"/>
    </row>
    <row r="1636" spans="2:13" outlineLevel="1" x14ac:dyDescent="0.2">
      <c r="B1636" s="99" t="s">
        <v>1716</v>
      </c>
      <c r="C1636" s="375" t="s">
        <v>1503</v>
      </c>
      <c r="D1636" s="369">
        <v>43830</v>
      </c>
      <c r="E1636" s="378">
        <v>30</v>
      </c>
      <c r="F1636" s="304"/>
      <c r="G1636" s="252">
        <v>5719.5</v>
      </c>
      <c r="H1636" s="252"/>
      <c r="I1636" s="126">
        <f t="shared" si="96"/>
        <v>5719.5</v>
      </c>
      <c r="J1636" s="126">
        <f t="shared" si="97"/>
        <v>5719.5</v>
      </c>
      <c r="K1636" s="94"/>
      <c r="M1636" s="95"/>
    </row>
    <row r="1637" spans="2:13" outlineLevel="1" x14ac:dyDescent="0.2">
      <c r="B1637" s="99" t="s">
        <v>1717</v>
      </c>
      <c r="C1637" s="375" t="s">
        <v>1718</v>
      </c>
      <c r="D1637" s="369">
        <v>43830</v>
      </c>
      <c r="E1637" s="378">
        <v>30</v>
      </c>
      <c r="F1637" s="304"/>
      <c r="G1637" s="252">
        <v>5719.5</v>
      </c>
      <c r="H1637" s="252"/>
      <c r="I1637" s="126">
        <f t="shared" si="96"/>
        <v>5719.5</v>
      </c>
      <c r="J1637" s="126">
        <f t="shared" si="97"/>
        <v>5719.5</v>
      </c>
      <c r="K1637" s="94"/>
      <c r="M1637" s="95"/>
    </row>
    <row r="1638" spans="2:13" ht="24" outlineLevel="1" x14ac:dyDescent="0.2">
      <c r="B1638" s="99" t="s">
        <v>1719</v>
      </c>
      <c r="C1638" s="375" t="s">
        <v>1720</v>
      </c>
      <c r="D1638" s="369">
        <v>43830</v>
      </c>
      <c r="E1638" s="378">
        <v>80</v>
      </c>
      <c r="F1638" s="254">
        <v>147661.53</v>
      </c>
      <c r="G1638" s="252">
        <v>60588</v>
      </c>
      <c r="H1638" s="252"/>
      <c r="I1638" s="126">
        <f t="shared" si="96"/>
        <v>208249.53</v>
      </c>
      <c r="J1638" s="126">
        <f t="shared" si="97"/>
        <v>208249.53</v>
      </c>
      <c r="K1638" s="94"/>
      <c r="M1638" s="95"/>
    </row>
    <row r="1639" spans="2:13" ht="24" outlineLevel="1" x14ac:dyDescent="0.2">
      <c r="B1639" s="99" t="s">
        <v>1721</v>
      </c>
      <c r="C1639" s="375" t="s">
        <v>1722</v>
      </c>
      <c r="D1639" s="369">
        <v>43830</v>
      </c>
      <c r="E1639" s="378">
        <v>30</v>
      </c>
      <c r="F1639" s="304"/>
      <c r="G1639" s="252">
        <v>16542.13</v>
      </c>
      <c r="H1639" s="252"/>
      <c r="I1639" s="126">
        <f t="shared" si="96"/>
        <v>16542.13</v>
      </c>
      <c r="J1639" s="126">
        <f t="shared" si="97"/>
        <v>16542.13</v>
      </c>
      <c r="K1639" s="94"/>
      <c r="M1639" s="95"/>
    </row>
    <row r="1640" spans="2:13" ht="24" outlineLevel="1" x14ac:dyDescent="0.2">
      <c r="B1640" s="99" t="s">
        <v>1723</v>
      </c>
      <c r="C1640" s="375" t="s">
        <v>1724</v>
      </c>
      <c r="D1640" s="369">
        <v>43830</v>
      </c>
      <c r="E1640" s="378">
        <v>60</v>
      </c>
      <c r="F1640" s="254">
        <v>44485.98</v>
      </c>
      <c r="G1640" s="252">
        <v>10444.33</v>
      </c>
      <c r="H1640" s="252"/>
      <c r="I1640" s="126">
        <f t="shared" si="96"/>
        <v>54930.310000000005</v>
      </c>
      <c r="J1640" s="126">
        <f t="shared" si="97"/>
        <v>54930.310000000005</v>
      </c>
      <c r="K1640" s="94"/>
      <c r="M1640" s="95"/>
    </row>
    <row r="1641" spans="2:13" ht="24" outlineLevel="1" x14ac:dyDescent="0.2">
      <c r="B1641" s="99" t="s">
        <v>1725</v>
      </c>
      <c r="C1641" s="375" t="s">
        <v>1726</v>
      </c>
      <c r="D1641" s="369">
        <v>43830</v>
      </c>
      <c r="E1641" s="378">
        <v>70</v>
      </c>
      <c r="F1641" s="254">
        <v>247410.27</v>
      </c>
      <c r="G1641" s="252">
        <v>14026.02</v>
      </c>
      <c r="H1641" s="252"/>
      <c r="I1641" s="126">
        <f t="shared" si="96"/>
        <v>261436.28999999998</v>
      </c>
      <c r="J1641" s="126">
        <f t="shared" si="97"/>
        <v>261436.28999999998</v>
      </c>
      <c r="K1641" s="94"/>
      <c r="M1641" s="95"/>
    </row>
    <row r="1642" spans="2:13" ht="24" outlineLevel="1" x14ac:dyDescent="0.2">
      <c r="B1642" s="99" t="s">
        <v>1727</v>
      </c>
      <c r="C1642" s="375" t="s">
        <v>1728</v>
      </c>
      <c r="D1642" s="369">
        <v>43830</v>
      </c>
      <c r="E1642" s="378">
        <v>70</v>
      </c>
      <c r="F1642" s="254">
        <v>34181.01</v>
      </c>
      <c r="G1642" s="252">
        <v>19103.79</v>
      </c>
      <c r="H1642" s="252"/>
      <c r="I1642" s="126">
        <f t="shared" si="96"/>
        <v>53284.800000000003</v>
      </c>
      <c r="J1642" s="126">
        <f t="shared" si="97"/>
        <v>53284.800000000003</v>
      </c>
      <c r="K1642" s="94"/>
      <c r="M1642" s="95"/>
    </row>
    <row r="1643" spans="2:13" ht="24" outlineLevel="1" x14ac:dyDescent="0.2">
      <c r="B1643" s="99" t="s">
        <v>1729</v>
      </c>
      <c r="C1643" s="375" t="s">
        <v>1730</v>
      </c>
      <c r="D1643" s="369">
        <v>43830</v>
      </c>
      <c r="E1643" s="378">
        <v>70</v>
      </c>
      <c r="F1643" s="254">
        <v>22214.19</v>
      </c>
      <c r="G1643" s="252">
        <v>10444.33</v>
      </c>
      <c r="H1643" s="252"/>
      <c r="I1643" s="126">
        <f t="shared" si="96"/>
        <v>32658.519999999997</v>
      </c>
      <c r="J1643" s="126">
        <f t="shared" si="97"/>
        <v>32658.519999999997</v>
      </c>
      <c r="K1643" s="94"/>
      <c r="M1643" s="95"/>
    </row>
    <row r="1644" spans="2:13" ht="24" outlineLevel="1" x14ac:dyDescent="0.2">
      <c r="B1644" s="99" t="s">
        <v>1731</v>
      </c>
      <c r="C1644" s="375" t="s">
        <v>1732</v>
      </c>
      <c r="D1644" s="369">
        <v>43830</v>
      </c>
      <c r="E1644" s="378">
        <v>30</v>
      </c>
      <c r="F1644" s="304"/>
      <c r="G1644" s="252">
        <v>7085</v>
      </c>
      <c r="H1644" s="252"/>
      <c r="I1644" s="126">
        <f t="shared" si="96"/>
        <v>7085</v>
      </c>
      <c r="J1644" s="126">
        <f t="shared" si="97"/>
        <v>7085</v>
      </c>
      <c r="K1644" s="94"/>
      <c r="M1644" s="95"/>
    </row>
    <row r="1645" spans="2:13" ht="24" outlineLevel="1" x14ac:dyDescent="0.2">
      <c r="B1645" s="99" t="s">
        <v>1733</v>
      </c>
      <c r="C1645" s="341">
        <v>43087</v>
      </c>
      <c r="D1645" s="369">
        <v>43830</v>
      </c>
      <c r="E1645" s="378"/>
      <c r="F1645" s="304"/>
      <c r="G1645" s="252">
        <v>19023</v>
      </c>
      <c r="H1645" s="252"/>
      <c r="I1645" s="126">
        <f t="shared" si="96"/>
        <v>19023</v>
      </c>
      <c r="J1645" s="126">
        <f t="shared" si="97"/>
        <v>19023</v>
      </c>
      <c r="K1645" s="94"/>
      <c r="M1645" s="95"/>
    </row>
    <row r="1646" spans="2:13" ht="24.75" outlineLevel="1" thickBot="1" x14ac:dyDescent="0.25">
      <c r="B1646" s="100" t="s">
        <v>1734</v>
      </c>
      <c r="C1646" s="383" t="s">
        <v>1735</v>
      </c>
      <c r="D1646" s="384">
        <v>43830</v>
      </c>
      <c r="E1646" s="381">
        <v>30</v>
      </c>
      <c r="F1646" s="306"/>
      <c r="G1646" s="258">
        <v>30444.33</v>
      </c>
      <c r="H1646" s="258"/>
      <c r="I1646" s="127">
        <f t="shared" si="96"/>
        <v>30444.33</v>
      </c>
      <c r="J1646" s="127">
        <f t="shared" si="97"/>
        <v>30444.33</v>
      </c>
      <c r="K1646" s="97"/>
      <c r="M1646" s="95"/>
    </row>
    <row r="1647" spans="2:13" ht="12" customHeight="1" thickBot="1" x14ac:dyDescent="0.25">
      <c r="B1647" s="102"/>
      <c r="C1647" s="385"/>
      <c r="D1647" s="385"/>
      <c r="E1647" s="386"/>
      <c r="F1647" s="144">
        <f>SUM(F1046:F1646)</f>
        <v>25833163.879999995</v>
      </c>
      <c r="G1647" s="144">
        <f>SUM(G1046:G1646)</f>
        <v>7700688.5599999772</v>
      </c>
      <c r="H1647" s="144">
        <f>SUM(H1046:H1646)</f>
        <v>591811.76</v>
      </c>
      <c r="I1647" s="144">
        <f>SUM(I1046:I1646)</f>
        <v>34125664.199999943</v>
      </c>
      <c r="J1647" s="144">
        <f>SUM(J1046:J1646)</f>
        <v>34125664.199999943</v>
      </c>
      <c r="K1647" s="103"/>
      <c r="L1647" s="104"/>
    </row>
    <row r="1648" spans="2:13" ht="12" customHeight="1" x14ac:dyDescent="0.2">
      <c r="B1648" s="116"/>
      <c r="C1648" s="387"/>
      <c r="D1648" s="387"/>
      <c r="E1648" s="388"/>
      <c r="F1648" s="145"/>
      <c r="G1648" s="145"/>
      <c r="H1648" s="145"/>
      <c r="I1648" s="145"/>
      <c r="J1648" s="145"/>
      <c r="K1648" s="117"/>
      <c r="L1648" s="118"/>
    </row>
    <row r="1649" spans="2:12" ht="12" customHeight="1" x14ac:dyDescent="0.2">
      <c r="B1649" s="76" t="s">
        <v>1737</v>
      </c>
      <c r="C1649" s="316"/>
      <c r="D1649" s="369"/>
      <c r="E1649" s="389"/>
      <c r="F1649" s="151"/>
      <c r="G1649" s="151"/>
      <c r="H1649" s="146"/>
      <c r="I1649" s="140"/>
      <c r="J1649" s="150"/>
      <c r="K1649" s="107"/>
      <c r="L1649" s="78"/>
    </row>
    <row r="1650" spans="2:12" ht="12" customHeight="1" outlineLevel="1" x14ac:dyDescent="0.2">
      <c r="B1650" s="213" t="s">
        <v>1738</v>
      </c>
      <c r="C1650" s="316">
        <v>43343</v>
      </c>
      <c r="D1650" s="369">
        <v>43552</v>
      </c>
      <c r="E1650" s="389">
        <v>20</v>
      </c>
      <c r="F1650" s="307"/>
      <c r="G1650" s="305">
        <v>5098.09</v>
      </c>
      <c r="H1650" s="308"/>
      <c r="I1650" s="146">
        <f t="shared" ref="I1650:I1681" si="98">F1650+G1650+H1650</f>
        <v>5098.09</v>
      </c>
      <c r="J1650" s="142">
        <v>5098.09</v>
      </c>
      <c r="K1650" s="108"/>
      <c r="L1650" s="108"/>
    </row>
    <row r="1651" spans="2:12" ht="12" customHeight="1" outlineLevel="1" x14ac:dyDescent="0.2">
      <c r="B1651" s="215" t="s">
        <v>1739</v>
      </c>
      <c r="C1651" s="310">
        <v>43434</v>
      </c>
      <c r="D1651" s="369">
        <v>43546</v>
      </c>
      <c r="E1651" s="389">
        <v>20</v>
      </c>
      <c r="F1651" s="252"/>
      <c r="G1651" s="308">
        <v>4186.5600000000004</v>
      </c>
      <c r="H1651" s="308"/>
      <c r="I1651" s="146">
        <f t="shared" si="98"/>
        <v>4186.5600000000004</v>
      </c>
      <c r="J1651" s="305">
        <v>4186.5600000000004</v>
      </c>
      <c r="K1651" s="214"/>
      <c r="L1651" s="78"/>
    </row>
    <row r="1652" spans="2:12" ht="12" customHeight="1" outlineLevel="1" x14ac:dyDescent="0.2">
      <c r="B1652" s="215" t="s">
        <v>1740</v>
      </c>
      <c r="C1652" s="310">
        <v>43159</v>
      </c>
      <c r="D1652" s="390">
        <v>43720</v>
      </c>
      <c r="E1652" s="389">
        <v>20</v>
      </c>
      <c r="F1652" s="252"/>
      <c r="G1652" s="308">
        <v>57073.93</v>
      </c>
      <c r="H1652" s="308"/>
      <c r="I1652" s="146">
        <f t="shared" si="98"/>
        <v>57073.93</v>
      </c>
      <c r="J1652" s="305">
        <v>57073.93</v>
      </c>
      <c r="K1652" s="214"/>
      <c r="L1652" s="78"/>
    </row>
    <row r="1653" spans="2:12" ht="12" customHeight="1" outlineLevel="1" x14ac:dyDescent="0.2">
      <c r="B1653" s="215" t="s">
        <v>1741</v>
      </c>
      <c r="C1653" s="310">
        <v>43446</v>
      </c>
      <c r="D1653" s="369">
        <v>44071</v>
      </c>
      <c r="E1653" s="389">
        <v>20</v>
      </c>
      <c r="F1653" s="252"/>
      <c r="G1653" s="308">
        <v>68752.7</v>
      </c>
      <c r="H1653" s="308"/>
      <c r="I1653" s="146">
        <f t="shared" si="98"/>
        <v>68752.7</v>
      </c>
      <c r="J1653" s="305">
        <v>68752.7</v>
      </c>
      <c r="K1653" s="214"/>
      <c r="L1653" s="78"/>
    </row>
    <row r="1654" spans="2:12" ht="12" customHeight="1" outlineLevel="1" x14ac:dyDescent="0.2">
      <c r="B1654" s="109" t="s">
        <v>1742</v>
      </c>
      <c r="C1654" s="310">
        <v>43280</v>
      </c>
      <c r="D1654" s="369">
        <v>43554</v>
      </c>
      <c r="E1654" s="389">
        <v>60</v>
      </c>
      <c r="F1654" s="252"/>
      <c r="G1654" s="252">
        <f t="shared" ref="G1654:G1693" si="99">J1654</f>
        <v>6503.51</v>
      </c>
      <c r="H1654" s="308"/>
      <c r="I1654" s="146">
        <f t="shared" si="98"/>
        <v>6503.51</v>
      </c>
      <c r="J1654" s="305">
        <v>6503.51</v>
      </c>
      <c r="K1654" s="214"/>
      <c r="L1654" s="78"/>
    </row>
    <row r="1655" spans="2:12" ht="12" customHeight="1" outlineLevel="1" x14ac:dyDescent="0.2">
      <c r="B1655" s="213" t="s">
        <v>1743</v>
      </c>
      <c r="C1655" s="310">
        <v>43343</v>
      </c>
      <c r="D1655" s="369">
        <v>43554</v>
      </c>
      <c r="E1655" s="389">
        <v>60</v>
      </c>
      <c r="F1655" s="252"/>
      <c r="G1655" s="305">
        <v>6408.58</v>
      </c>
      <c r="H1655" s="308"/>
      <c r="I1655" s="146">
        <f t="shared" si="98"/>
        <v>6408.58</v>
      </c>
      <c r="J1655" s="305">
        <v>6408.58</v>
      </c>
      <c r="K1655" s="214"/>
      <c r="L1655" s="78"/>
    </row>
    <row r="1656" spans="2:12" ht="12" customHeight="1" outlineLevel="1" x14ac:dyDescent="0.2">
      <c r="B1656" s="109" t="s">
        <v>1744</v>
      </c>
      <c r="C1656" s="310">
        <v>43151</v>
      </c>
      <c r="D1656" s="369">
        <v>43495</v>
      </c>
      <c r="E1656" s="389">
        <v>90</v>
      </c>
      <c r="F1656" s="252">
        <v>48000</v>
      </c>
      <c r="G1656" s="252">
        <v>45000</v>
      </c>
      <c r="H1656" s="308"/>
      <c r="I1656" s="146">
        <f t="shared" si="98"/>
        <v>93000</v>
      </c>
      <c r="J1656" s="305">
        <v>93000</v>
      </c>
      <c r="K1656" s="214"/>
      <c r="L1656" s="78"/>
    </row>
    <row r="1657" spans="2:12" ht="12" customHeight="1" outlineLevel="1" x14ac:dyDescent="0.2">
      <c r="B1657" s="213" t="s">
        <v>1745</v>
      </c>
      <c r="C1657" s="310">
        <v>43371</v>
      </c>
      <c r="D1657" s="369">
        <v>43598</v>
      </c>
      <c r="E1657" s="389">
        <v>40</v>
      </c>
      <c r="F1657" s="252"/>
      <c r="G1657" s="252">
        <v>5139.1000000000004</v>
      </c>
      <c r="H1657" s="308"/>
      <c r="I1657" s="146">
        <f t="shared" si="98"/>
        <v>5139.1000000000004</v>
      </c>
      <c r="J1657" s="305">
        <v>5139.1000000000004</v>
      </c>
      <c r="K1657" s="214"/>
      <c r="L1657" s="78"/>
    </row>
    <row r="1658" spans="2:12" ht="12" customHeight="1" outlineLevel="1" x14ac:dyDescent="0.2">
      <c r="B1658" s="215" t="s">
        <v>1746</v>
      </c>
      <c r="C1658" s="310">
        <v>43403</v>
      </c>
      <c r="D1658" s="369">
        <v>43601</v>
      </c>
      <c r="E1658" s="389">
        <v>50</v>
      </c>
      <c r="F1658" s="252"/>
      <c r="G1658" s="308">
        <v>5546.41</v>
      </c>
      <c r="H1658" s="308"/>
      <c r="I1658" s="146">
        <f t="shared" si="98"/>
        <v>5546.41</v>
      </c>
      <c r="J1658" s="305">
        <v>5546.41</v>
      </c>
      <c r="K1658" s="214"/>
      <c r="L1658" s="78"/>
    </row>
    <row r="1659" spans="2:12" ht="12" customHeight="1" outlineLevel="1" x14ac:dyDescent="0.2">
      <c r="B1659" s="109" t="s">
        <v>1747</v>
      </c>
      <c r="C1659" s="310">
        <v>43159</v>
      </c>
      <c r="D1659" s="369">
        <v>43635</v>
      </c>
      <c r="E1659" s="389">
        <v>50</v>
      </c>
      <c r="F1659" s="252"/>
      <c r="G1659" s="252">
        <f t="shared" si="99"/>
        <v>9763.2099999999991</v>
      </c>
      <c r="H1659" s="308"/>
      <c r="I1659" s="146">
        <f t="shared" si="98"/>
        <v>9763.2099999999991</v>
      </c>
      <c r="J1659" s="305">
        <v>9763.2099999999991</v>
      </c>
      <c r="K1659" s="214"/>
      <c r="L1659" s="78"/>
    </row>
    <row r="1660" spans="2:12" ht="12" customHeight="1" outlineLevel="1" x14ac:dyDescent="0.2">
      <c r="B1660" s="109" t="s">
        <v>1748</v>
      </c>
      <c r="C1660" s="310">
        <v>43131</v>
      </c>
      <c r="D1660" s="369">
        <v>43495</v>
      </c>
      <c r="E1660" s="389">
        <v>80</v>
      </c>
      <c r="F1660" s="252"/>
      <c r="G1660" s="252">
        <f t="shared" si="99"/>
        <v>9239.42</v>
      </c>
      <c r="H1660" s="308"/>
      <c r="I1660" s="146">
        <f t="shared" si="98"/>
        <v>9239.42</v>
      </c>
      <c r="J1660" s="305">
        <v>9239.42</v>
      </c>
      <c r="K1660" s="214"/>
      <c r="L1660" s="78"/>
    </row>
    <row r="1661" spans="2:12" ht="12" customHeight="1" outlineLevel="1" x14ac:dyDescent="0.2">
      <c r="B1661" s="215" t="s">
        <v>1749</v>
      </c>
      <c r="C1661" s="310">
        <v>43434</v>
      </c>
      <c r="D1661" s="369">
        <v>43754</v>
      </c>
      <c r="E1661" s="389">
        <v>20</v>
      </c>
      <c r="F1661" s="252"/>
      <c r="G1661" s="308">
        <v>19098.439999999999</v>
      </c>
      <c r="H1661" s="308"/>
      <c r="I1661" s="146">
        <f t="shared" si="98"/>
        <v>19098.439999999999</v>
      </c>
      <c r="J1661" s="305">
        <v>19098.439999999999</v>
      </c>
      <c r="K1661" s="214"/>
      <c r="L1661" s="78"/>
    </row>
    <row r="1662" spans="2:12" ht="12" customHeight="1" outlineLevel="1" x14ac:dyDescent="0.2">
      <c r="B1662" s="215" t="s">
        <v>1750</v>
      </c>
      <c r="C1662" s="310">
        <v>43403</v>
      </c>
      <c r="D1662" s="369" t="s">
        <v>1751</v>
      </c>
      <c r="E1662" s="389">
        <v>20</v>
      </c>
      <c r="F1662" s="252"/>
      <c r="G1662" s="308">
        <v>3865.12</v>
      </c>
      <c r="H1662" s="308"/>
      <c r="I1662" s="146">
        <f t="shared" si="98"/>
        <v>3865.12</v>
      </c>
      <c r="J1662" s="305">
        <v>3865.12</v>
      </c>
      <c r="K1662" s="214"/>
      <c r="L1662" s="78"/>
    </row>
    <row r="1663" spans="2:12" ht="12" customHeight="1" outlineLevel="1" x14ac:dyDescent="0.2">
      <c r="B1663" s="109" t="s">
        <v>1752</v>
      </c>
      <c r="C1663" s="310">
        <v>43251</v>
      </c>
      <c r="D1663" s="369">
        <v>43642</v>
      </c>
      <c r="E1663" s="389">
        <v>20</v>
      </c>
      <c r="F1663" s="252"/>
      <c r="G1663" s="252">
        <f t="shared" si="99"/>
        <v>7469.24</v>
      </c>
      <c r="H1663" s="308"/>
      <c r="I1663" s="146">
        <f t="shared" si="98"/>
        <v>7469.24</v>
      </c>
      <c r="J1663" s="305">
        <v>7469.24</v>
      </c>
      <c r="K1663" s="214"/>
      <c r="L1663" s="78"/>
    </row>
    <row r="1664" spans="2:12" ht="12" customHeight="1" outlineLevel="1" x14ac:dyDescent="0.2">
      <c r="B1664" s="109" t="s">
        <v>1753</v>
      </c>
      <c r="C1664" s="310">
        <v>43189</v>
      </c>
      <c r="D1664" s="369">
        <v>43561</v>
      </c>
      <c r="E1664" s="389">
        <v>30</v>
      </c>
      <c r="F1664" s="252"/>
      <c r="G1664" s="252">
        <f t="shared" si="99"/>
        <v>23009.39</v>
      </c>
      <c r="H1664" s="308"/>
      <c r="I1664" s="146">
        <f t="shared" si="98"/>
        <v>23009.39</v>
      </c>
      <c r="J1664" s="305">
        <v>23009.39</v>
      </c>
      <c r="K1664" s="214"/>
      <c r="L1664" s="78"/>
    </row>
    <row r="1665" spans="2:12" ht="12" customHeight="1" outlineLevel="1" x14ac:dyDescent="0.2">
      <c r="B1665" s="109" t="s">
        <v>1754</v>
      </c>
      <c r="C1665" s="310">
        <v>43189</v>
      </c>
      <c r="D1665" s="369">
        <v>43561</v>
      </c>
      <c r="E1665" s="389">
        <v>60</v>
      </c>
      <c r="F1665" s="252"/>
      <c r="G1665" s="252">
        <f t="shared" si="99"/>
        <v>8919.65</v>
      </c>
      <c r="H1665" s="308"/>
      <c r="I1665" s="146">
        <f t="shared" si="98"/>
        <v>8919.65</v>
      </c>
      <c r="J1665" s="305">
        <v>8919.65</v>
      </c>
      <c r="K1665" s="214"/>
      <c r="L1665" s="78"/>
    </row>
    <row r="1666" spans="2:12" ht="12" customHeight="1" outlineLevel="1" x14ac:dyDescent="0.2">
      <c r="B1666" s="215" t="s">
        <v>1755</v>
      </c>
      <c r="C1666" s="310">
        <v>43403</v>
      </c>
      <c r="D1666" s="369">
        <v>43524</v>
      </c>
      <c r="E1666" s="389">
        <v>60</v>
      </c>
      <c r="F1666" s="252"/>
      <c r="G1666" s="308">
        <v>6403.17</v>
      </c>
      <c r="H1666" s="308"/>
      <c r="I1666" s="146">
        <f t="shared" si="98"/>
        <v>6403.17</v>
      </c>
      <c r="J1666" s="305">
        <v>6403.17</v>
      </c>
      <c r="K1666" s="214"/>
      <c r="L1666" s="78"/>
    </row>
    <row r="1667" spans="2:12" ht="12" customHeight="1" outlineLevel="1" x14ac:dyDescent="0.2">
      <c r="B1667" s="213" t="s">
        <v>1756</v>
      </c>
      <c r="C1667" s="310">
        <v>43343</v>
      </c>
      <c r="D1667" s="369">
        <v>43524</v>
      </c>
      <c r="E1667" s="389">
        <v>60</v>
      </c>
      <c r="F1667" s="252"/>
      <c r="G1667" s="305">
        <v>6700.68</v>
      </c>
      <c r="H1667" s="308"/>
      <c r="I1667" s="146">
        <f t="shared" si="98"/>
        <v>6700.68</v>
      </c>
      <c r="J1667" s="305">
        <v>6700.68</v>
      </c>
      <c r="K1667" s="214"/>
      <c r="L1667" s="78"/>
    </row>
    <row r="1668" spans="2:12" ht="12" customHeight="1" outlineLevel="1" x14ac:dyDescent="0.2">
      <c r="B1668" s="215" t="s">
        <v>1757</v>
      </c>
      <c r="C1668" s="310">
        <v>43434</v>
      </c>
      <c r="D1668" s="369">
        <v>43642</v>
      </c>
      <c r="E1668" s="389">
        <v>40</v>
      </c>
      <c r="F1668" s="252"/>
      <c r="G1668" s="308">
        <v>11451.37</v>
      </c>
      <c r="H1668" s="308"/>
      <c r="I1668" s="146">
        <f t="shared" si="98"/>
        <v>11451.37</v>
      </c>
      <c r="J1668" s="305">
        <v>11451.37</v>
      </c>
      <c r="K1668" s="214"/>
      <c r="L1668" s="78"/>
    </row>
    <row r="1669" spans="2:12" ht="12" customHeight="1" outlineLevel="1" x14ac:dyDescent="0.2">
      <c r="B1669" s="215" t="s">
        <v>1758</v>
      </c>
      <c r="C1669" s="310">
        <v>43430</v>
      </c>
      <c r="D1669" s="369">
        <v>43524</v>
      </c>
      <c r="E1669" s="389">
        <v>60</v>
      </c>
      <c r="F1669" s="252"/>
      <c r="G1669" s="308">
        <v>22667</v>
      </c>
      <c r="H1669" s="308"/>
      <c r="I1669" s="146">
        <f t="shared" si="98"/>
        <v>22667</v>
      </c>
      <c r="J1669" s="305">
        <v>22667</v>
      </c>
      <c r="K1669" s="214"/>
      <c r="L1669" s="78"/>
    </row>
    <row r="1670" spans="2:12" ht="12" customHeight="1" outlineLevel="1" x14ac:dyDescent="0.2">
      <c r="B1670" s="215" t="s">
        <v>1759</v>
      </c>
      <c r="C1670" s="310">
        <v>43430</v>
      </c>
      <c r="D1670" s="369">
        <v>43647</v>
      </c>
      <c r="E1670" s="389">
        <v>40</v>
      </c>
      <c r="F1670" s="252"/>
      <c r="G1670" s="308">
        <v>3474</v>
      </c>
      <c r="H1670" s="308"/>
      <c r="I1670" s="146">
        <f t="shared" si="98"/>
        <v>3474</v>
      </c>
      <c r="J1670" s="305">
        <v>3474</v>
      </c>
      <c r="K1670" s="214"/>
      <c r="L1670" s="78"/>
    </row>
    <row r="1671" spans="2:12" ht="12" customHeight="1" outlineLevel="1" x14ac:dyDescent="0.2">
      <c r="B1671" s="215" t="s">
        <v>1760</v>
      </c>
      <c r="C1671" s="310">
        <v>43434</v>
      </c>
      <c r="D1671" s="369">
        <v>43615</v>
      </c>
      <c r="E1671" s="389">
        <v>20</v>
      </c>
      <c r="F1671" s="252"/>
      <c r="G1671" s="308">
        <v>5139.1000000000004</v>
      </c>
      <c r="H1671" s="308"/>
      <c r="I1671" s="146">
        <f t="shared" si="98"/>
        <v>5139.1000000000004</v>
      </c>
      <c r="J1671" s="305">
        <v>5139.1000000000004</v>
      </c>
      <c r="K1671" s="214"/>
      <c r="L1671" s="78"/>
    </row>
    <row r="1672" spans="2:12" ht="12" customHeight="1" outlineLevel="1" x14ac:dyDescent="0.2">
      <c r="B1672" s="109" t="s">
        <v>1761</v>
      </c>
      <c r="C1672" s="310">
        <v>43280</v>
      </c>
      <c r="D1672" s="369">
        <v>43501</v>
      </c>
      <c r="E1672" s="389">
        <v>40</v>
      </c>
      <c r="F1672" s="252"/>
      <c r="G1672" s="252">
        <f t="shared" si="99"/>
        <v>5169.2</v>
      </c>
      <c r="H1672" s="308"/>
      <c r="I1672" s="146">
        <f t="shared" si="98"/>
        <v>5169.2</v>
      </c>
      <c r="J1672" s="305">
        <v>5169.2</v>
      </c>
      <c r="K1672" s="214"/>
      <c r="L1672" s="78"/>
    </row>
    <row r="1673" spans="2:12" ht="12" customHeight="1" outlineLevel="1" x14ac:dyDescent="0.2">
      <c r="B1673" s="109" t="s">
        <v>1762</v>
      </c>
      <c r="C1673" s="310">
        <v>43251</v>
      </c>
      <c r="D1673" s="369">
        <v>43642</v>
      </c>
      <c r="E1673" s="389">
        <v>20</v>
      </c>
      <c r="F1673" s="252"/>
      <c r="G1673" s="252">
        <f t="shared" si="99"/>
        <v>7883.64</v>
      </c>
      <c r="H1673" s="308"/>
      <c r="I1673" s="146">
        <f t="shared" si="98"/>
        <v>7883.64</v>
      </c>
      <c r="J1673" s="305">
        <v>7883.64</v>
      </c>
      <c r="K1673" s="214"/>
      <c r="L1673" s="78"/>
    </row>
    <row r="1674" spans="2:12" ht="12" customHeight="1" outlineLevel="1" x14ac:dyDescent="0.2">
      <c r="B1674" s="215" t="s">
        <v>1763</v>
      </c>
      <c r="C1674" s="310">
        <v>43434</v>
      </c>
      <c r="D1674" s="369">
        <v>43554</v>
      </c>
      <c r="E1674" s="389">
        <v>60</v>
      </c>
      <c r="F1674" s="252"/>
      <c r="G1674" s="308">
        <v>9466.7099999999991</v>
      </c>
      <c r="H1674" s="308"/>
      <c r="I1674" s="146">
        <f t="shared" si="98"/>
        <v>9466.7099999999991</v>
      </c>
      <c r="J1674" s="305">
        <v>9466.7099999999991</v>
      </c>
      <c r="K1674" s="214"/>
      <c r="L1674" s="78"/>
    </row>
    <row r="1675" spans="2:12" ht="12" customHeight="1" outlineLevel="1" x14ac:dyDescent="0.2">
      <c r="B1675" s="109" t="s">
        <v>1764</v>
      </c>
      <c r="C1675" s="310">
        <v>43280</v>
      </c>
      <c r="D1675" s="369">
        <v>43524</v>
      </c>
      <c r="E1675" s="389">
        <v>65</v>
      </c>
      <c r="F1675" s="252"/>
      <c r="G1675" s="252">
        <f t="shared" si="99"/>
        <v>5237.01</v>
      </c>
      <c r="H1675" s="308"/>
      <c r="I1675" s="146">
        <f t="shared" si="98"/>
        <v>5237.01</v>
      </c>
      <c r="J1675" s="305">
        <v>5237.01</v>
      </c>
      <c r="K1675" s="214"/>
      <c r="L1675" s="78"/>
    </row>
    <row r="1676" spans="2:12" ht="12" customHeight="1" outlineLevel="1" x14ac:dyDescent="0.2">
      <c r="B1676" s="213" t="s">
        <v>1765</v>
      </c>
      <c r="C1676" s="310">
        <v>43371</v>
      </c>
      <c r="D1676" s="369">
        <v>43582</v>
      </c>
      <c r="E1676" s="389">
        <v>40</v>
      </c>
      <c r="F1676" s="252"/>
      <c r="G1676" s="305">
        <v>3084.64</v>
      </c>
      <c r="H1676" s="308"/>
      <c r="I1676" s="146">
        <f t="shared" si="98"/>
        <v>3084.64</v>
      </c>
      <c r="J1676" s="305">
        <v>3084.64</v>
      </c>
      <c r="K1676" s="214"/>
      <c r="L1676" s="78"/>
    </row>
    <row r="1677" spans="2:12" ht="12" customHeight="1" outlineLevel="1" x14ac:dyDescent="0.2">
      <c r="B1677" s="213" t="s">
        <v>1766</v>
      </c>
      <c r="C1677" s="310">
        <v>43312</v>
      </c>
      <c r="D1677" s="369">
        <v>43524</v>
      </c>
      <c r="E1677" s="389">
        <v>60</v>
      </c>
      <c r="F1677" s="252"/>
      <c r="G1677" s="305">
        <v>7804.17</v>
      </c>
      <c r="H1677" s="308"/>
      <c r="I1677" s="146">
        <f t="shared" si="98"/>
        <v>7804.17</v>
      </c>
      <c r="J1677" s="305">
        <v>7804.17</v>
      </c>
      <c r="K1677" s="214"/>
      <c r="L1677" s="78"/>
    </row>
    <row r="1678" spans="2:12" ht="12" customHeight="1" outlineLevel="1" x14ac:dyDescent="0.2">
      <c r="B1678" s="213" t="s">
        <v>1767</v>
      </c>
      <c r="C1678" s="310">
        <v>43312</v>
      </c>
      <c r="D1678" s="369">
        <v>43524</v>
      </c>
      <c r="E1678" s="389">
        <v>20</v>
      </c>
      <c r="F1678" s="252"/>
      <c r="G1678" s="305">
        <v>4812.6499999999996</v>
      </c>
      <c r="H1678" s="308"/>
      <c r="I1678" s="146">
        <f t="shared" si="98"/>
        <v>4812.6499999999996</v>
      </c>
      <c r="J1678" s="305">
        <v>4812.6499999999996</v>
      </c>
      <c r="K1678" s="214"/>
      <c r="L1678" s="78"/>
    </row>
    <row r="1679" spans="2:12" ht="12" customHeight="1" outlineLevel="1" x14ac:dyDescent="0.2">
      <c r="B1679" s="215" t="s">
        <v>1768</v>
      </c>
      <c r="C1679" s="310">
        <v>43403</v>
      </c>
      <c r="D1679" s="369">
        <v>43642</v>
      </c>
      <c r="E1679" s="389">
        <v>40</v>
      </c>
      <c r="F1679" s="252"/>
      <c r="G1679" s="308">
        <v>7133.78</v>
      </c>
      <c r="H1679" s="308"/>
      <c r="I1679" s="146">
        <f t="shared" si="98"/>
        <v>7133.78</v>
      </c>
      <c r="J1679" s="305">
        <v>7133.78</v>
      </c>
      <c r="K1679" s="214"/>
      <c r="L1679" s="78"/>
    </row>
    <row r="1680" spans="2:12" ht="12" customHeight="1" outlineLevel="1" x14ac:dyDescent="0.2">
      <c r="B1680" s="215" t="s">
        <v>1769</v>
      </c>
      <c r="C1680" s="310">
        <v>43403</v>
      </c>
      <c r="D1680" s="369">
        <v>43606</v>
      </c>
      <c r="E1680" s="389">
        <v>40</v>
      </c>
      <c r="F1680" s="252"/>
      <c r="G1680" s="308">
        <v>3453.67</v>
      </c>
      <c r="H1680" s="308"/>
      <c r="I1680" s="146">
        <f t="shared" si="98"/>
        <v>3453.67</v>
      </c>
      <c r="J1680" s="305">
        <v>3453.67</v>
      </c>
      <c r="K1680" s="214"/>
      <c r="L1680" s="78"/>
    </row>
    <row r="1681" spans="2:12" ht="12" customHeight="1" outlineLevel="1" x14ac:dyDescent="0.2">
      <c r="B1681" s="109" t="s">
        <v>1770</v>
      </c>
      <c r="C1681" s="310">
        <v>43131</v>
      </c>
      <c r="D1681" s="369">
        <v>43543</v>
      </c>
      <c r="E1681" s="389">
        <v>20</v>
      </c>
      <c r="F1681" s="252"/>
      <c r="G1681" s="252">
        <f t="shared" si="99"/>
        <v>5310.98</v>
      </c>
      <c r="H1681" s="308"/>
      <c r="I1681" s="146">
        <f t="shared" si="98"/>
        <v>5310.98</v>
      </c>
      <c r="J1681" s="305">
        <v>5310.98</v>
      </c>
      <c r="K1681" s="214"/>
      <c r="L1681" s="78"/>
    </row>
    <row r="1682" spans="2:12" ht="12" customHeight="1" outlineLevel="1" x14ac:dyDescent="0.2">
      <c r="B1682" s="109" t="s">
        <v>1771</v>
      </c>
      <c r="C1682" s="310">
        <v>43218</v>
      </c>
      <c r="D1682" s="369">
        <v>43524</v>
      </c>
      <c r="E1682" s="389">
        <v>80</v>
      </c>
      <c r="F1682" s="252">
        <v>24000</v>
      </c>
      <c r="G1682" s="252">
        <v>5834.77</v>
      </c>
      <c r="H1682" s="308"/>
      <c r="I1682" s="146">
        <f t="shared" ref="I1682:I1713" si="100">F1682+G1682+H1682</f>
        <v>29834.77</v>
      </c>
      <c r="J1682" s="305">
        <v>29834.77</v>
      </c>
      <c r="K1682" s="214"/>
      <c r="L1682" s="78"/>
    </row>
    <row r="1683" spans="2:12" ht="12" customHeight="1" outlineLevel="1" x14ac:dyDescent="0.2">
      <c r="B1683" s="216" t="s">
        <v>1772</v>
      </c>
      <c r="C1683" s="310">
        <v>43371</v>
      </c>
      <c r="D1683" s="369">
        <v>43601</v>
      </c>
      <c r="E1683" s="389">
        <v>40</v>
      </c>
      <c r="F1683" s="252"/>
      <c r="G1683" s="305">
        <v>5173.0600000000004</v>
      </c>
      <c r="H1683" s="308"/>
      <c r="I1683" s="146">
        <f t="shared" si="100"/>
        <v>5173.0600000000004</v>
      </c>
      <c r="J1683" s="305">
        <v>5173.0600000000004</v>
      </c>
      <c r="K1683" s="214"/>
      <c r="L1683" s="78"/>
    </row>
    <row r="1684" spans="2:12" ht="12" customHeight="1" outlineLevel="1" x14ac:dyDescent="0.2">
      <c r="B1684" s="215" t="s">
        <v>1773</v>
      </c>
      <c r="C1684" s="310">
        <v>43446</v>
      </c>
      <c r="D1684" s="369">
        <v>43627</v>
      </c>
      <c r="E1684" s="389">
        <v>40</v>
      </c>
      <c r="F1684" s="252"/>
      <c r="G1684" s="308">
        <v>3681.33</v>
      </c>
      <c r="H1684" s="308"/>
      <c r="I1684" s="146">
        <f t="shared" si="100"/>
        <v>3681.33</v>
      </c>
      <c r="J1684" s="305">
        <v>3681.33</v>
      </c>
      <c r="K1684" s="214"/>
      <c r="L1684" s="78"/>
    </row>
    <row r="1685" spans="2:12" ht="12" customHeight="1" outlineLevel="1" x14ac:dyDescent="0.2">
      <c r="B1685" s="215" t="s">
        <v>1774</v>
      </c>
      <c r="C1685" s="310">
        <v>43403</v>
      </c>
      <c r="D1685" s="369">
        <v>43534</v>
      </c>
      <c r="E1685" s="389">
        <v>20</v>
      </c>
      <c r="F1685" s="252"/>
      <c r="G1685" s="308">
        <v>11242.77</v>
      </c>
      <c r="H1685" s="308"/>
      <c r="I1685" s="146">
        <f t="shared" si="100"/>
        <v>11242.77</v>
      </c>
      <c r="J1685" s="305">
        <v>11242.77</v>
      </c>
      <c r="K1685" s="214"/>
      <c r="L1685" s="78"/>
    </row>
    <row r="1686" spans="2:12" ht="12" customHeight="1" outlineLevel="1" x14ac:dyDescent="0.2">
      <c r="B1686" s="109" t="s">
        <v>1775</v>
      </c>
      <c r="C1686" s="310">
        <v>43251</v>
      </c>
      <c r="D1686" s="369">
        <v>43524</v>
      </c>
      <c r="E1686" s="389">
        <v>60</v>
      </c>
      <c r="F1686" s="252"/>
      <c r="G1686" s="252">
        <f t="shared" si="99"/>
        <v>7405.72</v>
      </c>
      <c r="H1686" s="308"/>
      <c r="I1686" s="146">
        <f t="shared" si="100"/>
        <v>7405.72</v>
      </c>
      <c r="J1686" s="305">
        <v>7405.72</v>
      </c>
      <c r="K1686" s="214"/>
      <c r="L1686" s="78"/>
    </row>
    <row r="1687" spans="2:12" ht="12" customHeight="1" outlineLevel="1" x14ac:dyDescent="0.2">
      <c r="B1687" s="109" t="s">
        <v>1776</v>
      </c>
      <c r="C1687" s="310">
        <v>43218</v>
      </c>
      <c r="D1687" s="369">
        <v>43524</v>
      </c>
      <c r="E1687" s="389">
        <v>80</v>
      </c>
      <c r="F1687" s="252"/>
      <c r="G1687" s="252">
        <f t="shared" si="99"/>
        <v>4361.21</v>
      </c>
      <c r="H1687" s="308"/>
      <c r="I1687" s="146">
        <f t="shared" si="100"/>
        <v>4361.21</v>
      </c>
      <c r="J1687" s="305">
        <v>4361.21</v>
      </c>
      <c r="K1687" s="214"/>
      <c r="L1687" s="78"/>
    </row>
    <row r="1688" spans="2:12" ht="12" customHeight="1" outlineLevel="1" x14ac:dyDescent="0.2">
      <c r="B1688" s="109" t="s">
        <v>1777</v>
      </c>
      <c r="C1688" s="310">
        <v>43280</v>
      </c>
      <c r="D1688" s="369">
        <v>43638</v>
      </c>
      <c r="E1688" s="389">
        <v>70</v>
      </c>
      <c r="F1688" s="252"/>
      <c r="G1688" s="252">
        <f t="shared" si="99"/>
        <v>6178.34</v>
      </c>
      <c r="H1688" s="308"/>
      <c r="I1688" s="146">
        <f t="shared" si="100"/>
        <v>6178.34</v>
      </c>
      <c r="J1688" s="305">
        <v>6178.34</v>
      </c>
      <c r="K1688" s="214"/>
      <c r="L1688" s="78"/>
    </row>
    <row r="1689" spans="2:12" ht="12" customHeight="1" outlineLevel="1" x14ac:dyDescent="0.2">
      <c r="B1689" s="109" t="s">
        <v>1778</v>
      </c>
      <c r="C1689" s="310">
        <v>42824</v>
      </c>
      <c r="D1689" s="369">
        <v>43594</v>
      </c>
      <c r="E1689" s="389">
        <v>80</v>
      </c>
      <c r="F1689" s="252">
        <v>17711.86</v>
      </c>
      <c r="G1689" s="308">
        <v>37128.949999999997</v>
      </c>
      <c r="H1689" s="308"/>
      <c r="I1689" s="146">
        <f t="shared" si="100"/>
        <v>54840.81</v>
      </c>
      <c r="J1689" s="305">
        <v>54840.81</v>
      </c>
      <c r="K1689" s="214"/>
      <c r="L1689" s="78"/>
    </row>
    <row r="1690" spans="2:12" ht="12" customHeight="1" outlineLevel="1" x14ac:dyDescent="0.2">
      <c r="B1690" s="109" t="s">
        <v>1779</v>
      </c>
      <c r="C1690" s="310">
        <v>42825</v>
      </c>
      <c r="D1690" s="369">
        <v>43570</v>
      </c>
      <c r="E1690" s="389">
        <v>40</v>
      </c>
      <c r="F1690" s="252"/>
      <c r="G1690" s="252">
        <v>13662.8</v>
      </c>
      <c r="H1690" s="308">
        <v>280.75</v>
      </c>
      <c r="I1690" s="146">
        <f t="shared" si="100"/>
        <v>13943.55</v>
      </c>
      <c r="J1690" s="305">
        <v>13943.55</v>
      </c>
      <c r="K1690" s="214"/>
      <c r="L1690" s="78"/>
    </row>
    <row r="1691" spans="2:12" ht="12" customHeight="1" outlineLevel="1" x14ac:dyDescent="0.2">
      <c r="B1691" s="109" t="s">
        <v>1780</v>
      </c>
      <c r="C1691" s="310">
        <v>43218</v>
      </c>
      <c r="D1691" s="369">
        <v>43630</v>
      </c>
      <c r="E1691" s="389">
        <v>40</v>
      </c>
      <c r="F1691" s="252">
        <v>45000</v>
      </c>
      <c r="G1691" s="252">
        <f>J1691-F1691</f>
        <v>36445.300000000003</v>
      </c>
      <c r="H1691" s="308"/>
      <c r="I1691" s="146">
        <f t="shared" si="100"/>
        <v>81445.3</v>
      </c>
      <c r="J1691" s="305">
        <v>81445.3</v>
      </c>
      <c r="K1691" s="214"/>
      <c r="L1691" s="78"/>
    </row>
    <row r="1692" spans="2:12" ht="12" customHeight="1" outlineLevel="1" x14ac:dyDescent="0.2">
      <c r="B1692" s="109" t="s">
        <v>1781</v>
      </c>
      <c r="C1692" s="310">
        <v>42551</v>
      </c>
      <c r="D1692" s="369">
        <v>43646</v>
      </c>
      <c r="E1692" s="389">
        <v>20</v>
      </c>
      <c r="F1692" s="252"/>
      <c r="G1692" s="252">
        <f t="shared" si="99"/>
        <v>3772.34</v>
      </c>
      <c r="H1692" s="308"/>
      <c r="I1692" s="146">
        <f t="shared" si="100"/>
        <v>3772.34</v>
      </c>
      <c r="J1692" s="305">
        <v>3772.34</v>
      </c>
      <c r="K1692" s="214"/>
      <c r="L1692" s="78"/>
    </row>
    <row r="1693" spans="2:12" ht="12" customHeight="1" outlineLevel="1" x14ac:dyDescent="0.2">
      <c r="B1693" s="109" t="s">
        <v>1782</v>
      </c>
      <c r="C1693" s="310">
        <v>43251</v>
      </c>
      <c r="D1693" s="369">
        <v>43643</v>
      </c>
      <c r="E1693" s="389">
        <v>30</v>
      </c>
      <c r="F1693" s="252"/>
      <c r="G1693" s="252">
        <f t="shared" si="99"/>
        <v>4808.8900000000003</v>
      </c>
      <c r="H1693" s="308"/>
      <c r="I1693" s="146">
        <f t="shared" si="100"/>
        <v>4808.8900000000003</v>
      </c>
      <c r="J1693" s="305">
        <v>4808.8900000000003</v>
      </c>
      <c r="K1693" s="214"/>
      <c r="L1693" s="78"/>
    </row>
    <row r="1694" spans="2:12" ht="12" customHeight="1" outlineLevel="1" x14ac:dyDescent="0.2">
      <c r="B1694" s="213" t="s">
        <v>1783</v>
      </c>
      <c r="C1694" s="310">
        <v>43312</v>
      </c>
      <c r="D1694" s="369">
        <v>43546</v>
      </c>
      <c r="E1694" s="309">
        <v>20</v>
      </c>
      <c r="F1694" s="309"/>
      <c r="G1694" s="305">
        <v>8636.49</v>
      </c>
      <c r="H1694" s="308"/>
      <c r="I1694" s="146">
        <f t="shared" si="100"/>
        <v>8636.49</v>
      </c>
      <c r="J1694" s="305">
        <v>8636.49</v>
      </c>
      <c r="K1694" s="214"/>
      <c r="L1694" s="78"/>
    </row>
    <row r="1695" spans="2:12" ht="12" customHeight="1" outlineLevel="1" x14ac:dyDescent="0.2">
      <c r="B1695" s="213" t="s">
        <v>1784</v>
      </c>
      <c r="C1695" s="310">
        <v>43343</v>
      </c>
      <c r="D1695" s="369">
        <v>43554</v>
      </c>
      <c r="E1695" s="309">
        <v>60</v>
      </c>
      <c r="F1695" s="309"/>
      <c r="G1695" s="305">
        <v>6019.52</v>
      </c>
      <c r="H1695" s="308"/>
      <c r="I1695" s="146">
        <f t="shared" si="100"/>
        <v>6019.52</v>
      </c>
      <c r="J1695" s="305">
        <v>6019.52</v>
      </c>
      <c r="K1695" s="214"/>
      <c r="L1695" s="78"/>
    </row>
    <row r="1696" spans="2:12" ht="12" customHeight="1" outlineLevel="1" x14ac:dyDescent="0.2">
      <c r="B1696" s="215" t="s">
        <v>1785</v>
      </c>
      <c r="C1696" s="310">
        <v>43344</v>
      </c>
      <c r="D1696" s="369">
        <v>43594</v>
      </c>
      <c r="E1696" s="389">
        <v>20</v>
      </c>
      <c r="F1696" s="252"/>
      <c r="G1696" s="308">
        <v>3931.26</v>
      </c>
      <c r="H1696" s="308"/>
      <c r="I1696" s="146">
        <f t="shared" si="100"/>
        <v>3931.26</v>
      </c>
      <c r="J1696" s="305">
        <v>3931.26</v>
      </c>
      <c r="K1696" s="214"/>
      <c r="L1696" s="78"/>
    </row>
    <row r="1697" spans="2:12" ht="12" customHeight="1" outlineLevel="1" x14ac:dyDescent="0.2">
      <c r="B1697" s="215" t="s">
        <v>1786</v>
      </c>
      <c r="C1697" s="310">
        <v>43403</v>
      </c>
      <c r="D1697" s="369">
        <v>43598</v>
      </c>
      <c r="E1697" s="389">
        <v>40</v>
      </c>
      <c r="F1697" s="252"/>
      <c r="G1697" s="308">
        <v>5322.25</v>
      </c>
      <c r="H1697" s="308"/>
      <c r="I1697" s="146">
        <f t="shared" si="100"/>
        <v>5322.25</v>
      </c>
      <c r="J1697" s="305">
        <v>5322.25</v>
      </c>
      <c r="K1697" s="214"/>
      <c r="L1697" s="78"/>
    </row>
    <row r="1698" spans="2:12" ht="12" customHeight="1" outlineLevel="1" x14ac:dyDescent="0.2">
      <c r="B1698" s="215" t="s">
        <v>1787</v>
      </c>
      <c r="C1698" s="310">
        <v>43343</v>
      </c>
      <c r="D1698" s="369">
        <v>43524</v>
      </c>
      <c r="E1698" s="389">
        <v>60</v>
      </c>
      <c r="F1698" s="252"/>
      <c r="G1698" s="308">
        <v>5493.05</v>
      </c>
      <c r="H1698" s="308"/>
      <c r="I1698" s="146">
        <f t="shared" si="100"/>
        <v>5493.05</v>
      </c>
      <c r="J1698" s="305">
        <v>5493.05</v>
      </c>
      <c r="K1698" s="214"/>
      <c r="L1698" s="78"/>
    </row>
    <row r="1699" spans="2:12" ht="12" customHeight="1" outlineLevel="1" x14ac:dyDescent="0.2">
      <c r="B1699" s="215" t="s">
        <v>1788</v>
      </c>
      <c r="C1699" s="310">
        <v>43403</v>
      </c>
      <c r="D1699" s="369">
        <v>43608</v>
      </c>
      <c r="E1699" s="389">
        <v>70</v>
      </c>
      <c r="F1699" s="252"/>
      <c r="G1699" s="308">
        <v>3979.68</v>
      </c>
      <c r="H1699" s="308"/>
      <c r="I1699" s="146">
        <f t="shared" si="100"/>
        <v>3979.68</v>
      </c>
      <c r="J1699" s="305">
        <v>3979.68</v>
      </c>
      <c r="K1699" s="214"/>
      <c r="L1699" s="78"/>
    </row>
    <row r="1700" spans="2:12" ht="12" customHeight="1" outlineLevel="1" x14ac:dyDescent="0.2">
      <c r="B1700" s="109" t="s">
        <v>1789</v>
      </c>
      <c r="C1700" s="310">
        <v>43039</v>
      </c>
      <c r="D1700" s="369">
        <v>43617</v>
      </c>
      <c r="E1700" s="389">
        <v>20</v>
      </c>
      <c r="F1700" s="252"/>
      <c r="G1700" s="252">
        <f t="shared" ref="G1700:G1710" si="101">J1700</f>
        <v>12581.73</v>
      </c>
      <c r="H1700" s="308"/>
      <c r="I1700" s="146">
        <f t="shared" si="100"/>
        <v>12581.73</v>
      </c>
      <c r="J1700" s="305">
        <v>12581.73</v>
      </c>
      <c r="K1700" s="214"/>
      <c r="L1700" s="78"/>
    </row>
    <row r="1701" spans="2:12" ht="12" customHeight="1" outlineLevel="1" x14ac:dyDescent="0.2">
      <c r="B1701" s="109" t="s">
        <v>1790</v>
      </c>
      <c r="C1701" s="310">
        <v>42643</v>
      </c>
      <c r="D1701" s="369">
        <v>43630</v>
      </c>
      <c r="E1701" s="389">
        <v>50</v>
      </c>
      <c r="F1701" s="252"/>
      <c r="G1701" s="252">
        <f t="shared" si="101"/>
        <v>28772.34</v>
      </c>
      <c r="H1701" s="308"/>
      <c r="I1701" s="146">
        <f t="shared" si="100"/>
        <v>28772.34</v>
      </c>
      <c r="J1701" s="305">
        <v>28772.34</v>
      </c>
      <c r="K1701" s="214"/>
      <c r="L1701" s="78"/>
    </row>
    <row r="1702" spans="2:12" ht="12" customHeight="1" outlineLevel="1" x14ac:dyDescent="0.2">
      <c r="B1702" s="109" t="s">
        <v>1791</v>
      </c>
      <c r="C1702" s="310">
        <v>43209</v>
      </c>
      <c r="D1702" s="369">
        <v>43627</v>
      </c>
      <c r="E1702" s="389">
        <v>20</v>
      </c>
      <c r="F1702" s="252"/>
      <c r="G1702" s="252">
        <f t="shared" si="101"/>
        <v>51882.35</v>
      </c>
      <c r="H1702" s="308"/>
      <c r="I1702" s="146">
        <f t="shared" si="100"/>
        <v>51882.35</v>
      </c>
      <c r="J1702" s="305">
        <v>51882.35</v>
      </c>
      <c r="K1702" s="214"/>
      <c r="L1702" s="78"/>
    </row>
    <row r="1703" spans="2:12" ht="12" customHeight="1" outlineLevel="1" x14ac:dyDescent="0.2">
      <c r="B1703" s="109" t="s">
        <v>1792</v>
      </c>
      <c r="C1703" s="310">
        <v>43039</v>
      </c>
      <c r="D1703" s="369">
        <v>43495</v>
      </c>
      <c r="E1703" s="389">
        <v>80</v>
      </c>
      <c r="F1703" s="252"/>
      <c r="G1703" s="252">
        <f t="shared" si="101"/>
        <v>16945.7</v>
      </c>
      <c r="H1703" s="308"/>
      <c r="I1703" s="146">
        <f t="shared" si="100"/>
        <v>16945.7</v>
      </c>
      <c r="J1703" s="305">
        <v>16945.7</v>
      </c>
      <c r="K1703" s="214"/>
      <c r="L1703" s="78"/>
    </row>
    <row r="1704" spans="2:12" ht="12" customHeight="1" outlineLevel="1" x14ac:dyDescent="0.2">
      <c r="B1704" s="109" t="s">
        <v>1793</v>
      </c>
      <c r="C1704" s="310">
        <v>43463</v>
      </c>
      <c r="D1704" s="369">
        <v>43550</v>
      </c>
      <c r="E1704" s="389">
        <v>60</v>
      </c>
      <c r="F1704" s="252"/>
      <c r="G1704" s="252">
        <f t="shared" si="101"/>
        <v>7463.45</v>
      </c>
      <c r="H1704" s="308"/>
      <c r="I1704" s="146">
        <f t="shared" si="100"/>
        <v>7463.45</v>
      </c>
      <c r="J1704" s="305">
        <v>7463.45</v>
      </c>
      <c r="K1704" s="214"/>
      <c r="L1704" s="78"/>
    </row>
    <row r="1705" spans="2:12" ht="12" customHeight="1" outlineLevel="1" x14ac:dyDescent="0.2">
      <c r="B1705" s="213" t="s">
        <v>1794</v>
      </c>
      <c r="C1705" s="310">
        <v>43343</v>
      </c>
      <c r="D1705" s="369">
        <v>43524</v>
      </c>
      <c r="E1705" s="389">
        <v>60</v>
      </c>
      <c r="F1705" s="252"/>
      <c r="G1705" s="305">
        <v>5739.65</v>
      </c>
      <c r="H1705" s="308"/>
      <c r="I1705" s="146">
        <f t="shared" si="100"/>
        <v>5739.65</v>
      </c>
      <c r="J1705" s="305">
        <v>5739.65</v>
      </c>
      <c r="K1705" s="214"/>
      <c r="L1705" s="78"/>
    </row>
    <row r="1706" spans="2:12" ht="12" customHeight="1" outlineLevel="1" x14ac:dyDescent="0.2">
      <c r="B1706" s="109" t="s">
        <v>1795</v>
      </c>
      <c r="C1706" s="310">
        <v>43344</v>
      </c>
      <c r="D1706" s="369">
        <v>43664</v>
      </c>
      <c r="E1706" s="389">
        <v>20</v>
      </c>
      <c r="F1706" s="252"/>
      <c r="G1706" s="252">
        <f t="shared" si="101"/>
        <v>30509.1</v>
      </c>
      <c r="H1706" s="308"/>
      <c r="I1706" s="146">
        <f t="shared" si="100"/>
        <v>30509.1</v>
      </c>
      <c r="J1706" s="305">
        <v>30509.1</v>
      </c>
      <c r="K1706" s="214"/>
      <c r="L1706" s="78"/>
    </row>
    <row r="1707" spans="2:12" ht="12" customHeight="1" outlineLevel="1" x14ac:dyDescent="0.2">
      <c r="B1707" s="216" t="s">
        <v>1796</v>
      </c>
      <c r="C1707" s="310">
        <v>43251</v>
      </c>
      <c r="D1707" s="369">
        <v>43495</v>
      </c>
      <c r="E1707" s="389">
        <v>90</v>
      </c>
      <c r="F1707" s="252"/>
      <c r="G1707" s="305">
        <v>4361.21</v>
      </c>
      <c r="H1707" s="308"/>
      <c r="I1707" s="146">
        <f t="shared" si="100"/>
        <v>4361.21</v>
      </c>
      <c r="J1707" s="305">
        <v>4361.21</v>
      </c>
      <c r="K1707" s="214"/>
      <c r="L1707" s="78"/>
    </row>
    <row r="1708" spans="2:12" ht="12" customHeight="1" outlineLevel="1" x14ac:dyDescent="0.2">
      <c r="B1708" s="215" t="s">
        <v>1797</v>
      </c>
      <c r="C1708" s="310">
        <v>43403</v>
      </c>
      <c r="D1708" s="369">
        <v>43585</v>
      </c>
      <c r="E1708" s="389">
        <v>40</v>
      </c>
      <c r="F1708" s="252"/>
      <c r="G1708" s="308">
        <v>3382.99</v>
      </c>
      <c r="H1708" s="308"/>
      <c r="I1708" s="146">
        <f t="shared" si="100"/>
        <v>3382.99</v>
      </c>
      <c r="J1708" s="305">
        <v>3382.99</v>
      </c>
      <c r="K1708" s="214"/>
      <c r="L1708" s="78"/>
    </row>
    <row r="1709" spans="2:12" ht="12" customHeight="1" outlineLevel="1" x14ac:dyDescent="0.2">
      <c r="B1709" s="215" t="s">
        <v>1798</v>
      </c>
      <c r="C1709" s="310">
        <v>43434</v>
      </c>
      <c r="D1709" s="369">
        <v>43616</v>
      </c>
      <c r="E1709" s="389">
        <v>40</v>
      </c>
      <c r="F1709" s="252"/>
      <c r="G1709" s="308">
        <v>8753.2199999999993</v>
      </c>
      <c r="H1709" s="308"/>
      <c r="I1709" s="146">
        <f t="shared" si="100"/>
        <v>8753.2199999999993</v>
      </c>
      <c r="J1709" s="305">
        <v>8753.2199999999993</v>
      </c>
      <c r="K1709" s="214"/>
      <c r="L1709" s="78"/>
    </row>
    <row r="1710" spans="2:12" ht="12" customHeight="1" outlineLevel="1" x14ac:dyDescent="0.2">
      <c r="B1710" s="109" t="s">
        <v>1799</v>
      </c>
      <c r="C1710" s="310">
        <v>43251</v>
      </c>
      <c r="D1710" s="369">
        <v>43524</v>
      </c>
      <c r="E1710" s="389">
        <v>60</v>
      </c>
      <c r="F1710" s="252"/>
      <c r="G1710" s="252">
        <f t="shared" si="101"/>
        <v>5750.97</v>
      </c>
      <c r="H1710" s="252"/>
      <c r="I1710" s="146">
        <f t="shared" si="100"/>
        <v>5750.97</v>
      </c>
      <c r="J1710" s="305">
        <v>5750.97</v>
      </c>
      <c r="K1710" s="214"/>
      <c r="L1710" s="78"/>
    </row>
    <row r="1711" spans="2:12" ht="12" customHeight="1" outlineLevel="1" x14ac:dyDescent="0.2">
      <c r="B1711" s="215" t="s">
        <v>1800</v>
      </c>
      <c r="C1711" s="310">
        <v>43403</v>
      </c>
      <c r="D1711" s="369">
        <v>43613</v>
      </c>
      <c r="E1711" s="389">
        <v>40</v>
      </c>
      <c r="F1711" s="252"/>
      <c r="G1711" s="252">
        <v>4394.78</v>
      </c>
      <c r="H1711" s="252"/>
      <c r="I1711" s="146">
        <f t="shared" si="100"/>
        <v>4394.78</v>
      </c>
      <c r="J1711" s="305">
        <v>4394.78</v>
      </c>
      <c r="K1711" s="214"/>
      <c r="L1711" s="78"/>
    </row>
    <row r="1712" spans="2:12" ht="12" customHeight="1" outlineLevel="1" x14ac:dyDescent="0.2">
      <c r="B1712" s="213" t="s">
        <v>1801</v>
      </c>
      <c r="C1712" s="310">
        <v>43343</v>
      </c>
      <c r="D1712" s="369">
        <v>43524</v>
      </c>
      <c r="E1712" s="389">
        <v>40</v>
      </c>
      <c r="F1712" s="252"/>
      <c r="G1712" s="305">
        <v>6921.15</v>
      </c>
      <c r="H1712" s="252"/>
      <c r="I1712" s="146">
        <f t="shared" si="100"/>
        <v>6921.15</v>
      </c>
      <c r="J1712" s="305">
        <v>6921.15</v>
      </c>
      <c r="K1712" s="214"/>
      <c r="L1712" s="78"/>
    </row>
    <row r="1713" spans="2:12" ht="12" customHeight="1" outlineLevel="1" x14ac:dyDescent="0.2">
      <c r="B1713" s="109" t="s">
        <v>1802</v>
      </c>
      <c r="C1713" s="310">
        <v>43218</v>
      </c>
      <c r="D1713" s="369">
        <v>43524</v>
      </c>
      <c r="E1713" s="389">
        <v>20</v>
      </c>
      <c r="F1713" s="252"/>
      <c r="G1713" s="252">
        <f>J1713</f>
        <v>6018.82</v>
      </c>
      <c r="H1713" s="252"/>
      <c r="I1713" s="146">
        <f t="shared" si="100"/>
        <v>6018.82</v>
      </c>
      <c r="J1713" s="305">
        <v>6018.82</v>
      </c>
      <c r="K1713" s="214"/>
      <c r="L1713" s="78"/>
    </row>
    <row r="1714" spans="2:12" ht="12" customHeight="1" outlineLevel="1" x14ac:dyDescent="0.2">
      <c r="B1714" s="213" t="s">
        <v>1803</v>
      </c>
      <c r="C1714" s="310">
        <v>43343</v>
      </c>
      <c r="D1714" s="369">
        <v>43524</v>
      </c>
      <c r="E1714" s="389">
        <v>60</v>
      </c>
      <c r="F1714" s="310"/>
      <c r="G1714" s="305">
        <v>4552.7</v>
      </c>
      <c r="H1714" s="252"/>
      <c r="I1714" s="146">
        <f t="shared" ref="I1714:I1745" si="102">F1714+G1714+H1714</f>
        <v>4552.7</v>
      </c>
      <c r="J1714" s="305">
        <v>4552.7</v>
      </c>
      <c r="K1714" s="214"/>
      <c r="L1714" s="78"/>
    </row>
    <row r="1715" spans="2:12" ht="12" customHeight="1" outlineLevel="1" x14ac:dyDescent="0.2">
      <c r="B1715" s="215" t="s">
        <v>1804</v>
      </c>
      <c r="C1715" s="310">
        <v>43344</v>
      </c>
      <c r="D1715" s="369">
        <v>43646</v>
      </c>
      <c r="E1715" s="389">
        <v>20</v>
      </c>
      <c r="F1715" s="310"/>
      <c r="G1715" s="252">
        <v>51302.84</v>
      </c>
      <c r="H1715" s="252">
        <v>280.75</v>
      </c>
      <c r="I1715" s="146">
        <f t="shared" si="102"/>
        <v>51583.59</v>
      </c>
      <c r="J1715" s="305">
        <v>51583.59</v>
      </c>
      <c r="K1715" s="214"/>
      <c r="L1715" s="78"/>
    </row>
    <row r="1716" spans="2:12" ht="12" customHeight="1" outlineLevel="1" x14ac:dyDescent="0.2">
      <c r="B1716" s="215" t="s">
        <v>1805</v>
      </c>
      <c r="C1716" s="310">
        <v>43434</v>
      </c>
      <c r="D1716" s="369">
        <v>43524</v>
      </c>
      <c r="E1716" s="389">
        <v>80</v>
      </c>
      <c r="F1716" s="310"/>
      <c r="G1716" s="252">
        <v>5562.17</v>
      </c>
      <c r="H1716" s="252"/>
      <c r="I1716" s="146">
        <f t="shared" si="102"/>
        <v>5562.17</v>
      </c>
      <c r="J1716" s="305">
        <v>5562.17</v>
      </c>
      <c r="K1716" s="214"/>
      <c r="L1716" s="78"/>
    </row>
    <row r="1717" spans="2:12" ht="12" customHeight="1" outlineLevel="1" x14ac:dyDescent="0.2">
      <c r="B1717" s="215" t="s">
        <v>1806</v>
      </c>
      <c r="C1717" s="310">
        <v>43434</v>
      </c>
      <c r="D1717" s="369">
        <v>43554</v>
      </c>
      <c r="E1717" s="389">
        <v>60</v>
      </c>
      <c r="F1717" s="310"/>
      <c r="G1717" s="252">
        <v>4174.2700000000004</v>
      </c>
      <c r="H1717" s="252"/>
      <c r="I1717" s="146">
        <f t="shared" si="102"/>
        <v>4174.2700000000004</v>
      </c>
      <c r="J1717" s="305">
        <v>4174.2700000000004</v>
      </c>
      <c r="K1717" s="214"/>
      <c r="L1717" s="78"/>
    </row>
    <row r="1718" spans="2:12" ht="12" customHeight="1" outlineLevel="1" x14ac:dyDescent="0.2">
      <c r="B1718" s="109" t="s">
        <v>1807</v>
      </c>
      <c r="C1718" s="310">
        <v>43435</v>
      </c>
      <c r="D1718" s="369">
        <v>43646</v>
      </c>
      <c r="E1718" s="389">
        <v>70</v>
      </c>
      <c r="F1718" s="252">
        <v>67987.539999999994</v>
      </c>
      <c r="G1718" s="252">
        <v>9177.42</v>
      </c>
      <c r="H1718" s="252"/>
      <c r="I1718" s="146">
        <f t="shared" si="102"/>
        <v>77164.959999999992</v>
      </c>
      <c r="J1718" s="305">
        <v>77164.960000000006</v>
      </c>
      <c r="K1718" s="214"/>
      <c r="L1718" s="78"/>
    </row>
    <row r="1719" spans="2:12" ht="12" customHeight="1" outlineLevel="1" x14ac:dyDescent="0.2">
      <c r="B1719" s="109" t="s">
        <v>1808</v>
      </c>
      <c r="C1719" s="310">
        <v>43251</v>
      </c>
      <c r="D1719" s="369">
        <v>43524</v>
      </c>
      <c r="E1719" s="389">
        <v>80</v>
      </c>
      <c r="F1719" s="252"/>
      <c r="G1719" s="252">
        <f>J1719</f>
        <v>4877.68</v>
      </c>
      <c r="H1719" s="252"/>
      <c r="I1719" s="146">
        <f t="shared" si="102"/>
        <v>4877.68</v>
      </c>
      <c r="J1719" s="305">
        <v>4877.68</v>
      </c>
      <c r="K1719" s="214"/>
      <c r="L1719" s="78"/>
    </row>
    <row r="1720" spans="2:12" ht="12" customHeight="1" outlineLevel="1" x14ac:dyDescent="0.2">
      <c r="B1720" s="109" t="s">
        <v>1809</v>
      </c>
      <c r="C1720" s="310">
        <v>43039</v>
      </c>
      <c r="D1720" s="369">
        <v>43546</v>
      </c>
      <c r="E1720" s="389">
        <v>20</v>
      </c>
      <c r="F1720" s="252"/>
      <c r="G1720" s="252">
        <f>J1720</f>
        <v>3000</v>
      </c>
      <c r="H1720" s="252"/>
      <c r="I1720" s="146">
        <f t="shared" si="102"/>
        <v>3000</v>
      </c>
      <c r="J1720" s="305">
        <v>3000</v>
      </c>
      <c r="K1720" s="214"/>
      <c r="L1720" s="78"/>
    </row>
    <row r="1721" spans="2:12" ht="12" customHeight="1" outlineLevel="1" x14ac:dyDescent="0.2">
      <c r="B1721" s="109" t="s">
        <v>1810</v>
      </c>
      <c r="C1721" s="310">
        <v>43098</v>
      </c>
      <c r="D1721" s="369">
        <v>43524</v>
      </c>
      <c r="E1721" s="389">
        <v>60</v>
      </c>
      <c r="F1721" s="252"/>
      <c r="G1721" s="252">
        <f t="shared" ref="G1721:G1767" si="103">J1721</f>
        <v>5572.87</v>
      </c>
      <c r="H1721" s="252"/>
      <c r="I1721" s="146">
        <f t="shared" si="102"/>
        <v>5572.87</v>
      </c>
      <c r="J1721" s="305">
        <v>5572.87</v>
      </c>
      <c r="K1721" s="214"/>
      <c r="L1721" s="78"/>
    </row>
    <row r="1722" spans="2:12" outlineLevel="1" x14ac:dyDescent="0.2">
      <c r="B1722" s="213" t="s">
        <v>1811</v>
      </c>
      <c r="C1722" s="310">
        <v>43343</v>
      </c>
      <c r="D1722" s="369">
        <v>43531</v>
      </c>
      <c r="E1722" s="389">
        <v>70</v>
      </c>
      <c r="F1722" s="252"/>
      <c r="G1722" s="305">
        <v>3888.21</v>
      </c>
      <c r="H1722" s="252"/>
      <c r="I1722" s="146">
        <f t="shared" si="102"/>
        <v>3888.21</v>
      </c>
      <c r="J1722" s="305">
        <v>3888.21</v>
      </c>
      <c r="K1722" s="214"/>
      <c r="L1722" s="78"/>
    </row>
    <row r="1723" spans="2:12" outlineLevel="1" x14ac:dyDescent="0.2">
      <c r="B1723" s="213" t="s">
        <v>1812</v>
      </c>
      <c r="C1723" s="310">
        <v>43343</v>
      </c>
      <c r="D1723" s="369">
        <v>43524</v>
      </c>
      <c r="E1723" s="389">
        <v>60</v>
      </c>
      <c r="F1723" s="252"/>
      <c r="G1723" s="305">
        <v>13392.04</v>
      </c>
      <c r="H1723" s="252"/>
      <c r="I1723" s="146">
        <f t="shared" si="102"/>
        <v>13392.04</v>
      </c>
      <c r="J1723" s="305">
        <v>13392.04</v>
      </c>
      <c r="K1723" s="214"/>
      <c r="L1723" s="78"/>
    </row>
    <row r="1724" spans="2:12" outlineLevel="1" x14ac:dyDescent="0.2">
      <c r="B1724" s="215" t="s">
        <v>1813</v>
      </c>
      <c r="C1724" s="310">
        <v>43403</v>
      </c>
      <c r="D1724" s="369">
        <v>43533</v>
      </c>
      <c r="E1724" s="389">
        <v>40</v>
      </c>
      <c r="F1724" s="252"/>
      <c r="G1724" s="252">
        <v>11640.29</v>
      </c>
      <c r="H1724" s="252"/>
      <c r="I1724" s="146">
        <f t="shared" si="102"/>
        <v>11640.29</v>
      </c>
      <c r="J1724" s="305">
        <v>11640.29</v>
      </c>
      <c r="K1724" s="214"/>
      <c r="L1724" s="78"/>
    </row>
    <row r="1725" spans="2:12" ht="24" outlineLevel="1" x14ac:dyDescent="0.2">
      <c r="B1725" s="109" t="s">
        <v>1814</v>
      </c>
      <c r="C1725" s="310">
        <v>42886</v>
      </c>
      <c r="D1725" s="369">
        <v>43623</v>
      </c>
      <c r="E1725" s="389">
        <v>20</v>
      </c>
      <c r="F1725" s="252">
        <v>99000</v>
      </c>
      <c r="G1725" s="252">
        <v>15000</v>
      </c>
      <c r="H1725" s="252"/>
      <c r="I1725" s="146">
        <f t="shared" si="102"/>
        <v>114000</v>
      </c>
      <c r="J1725" s="305">
        <v>114000</v>
      </c>
      <c r="K1725" s="214"/>
      <c r="L1725" s="78"/>
    </row>
    <row r="1726" spans="2:12" outlineLevel="1" x14ac:dyDescent="0.2">
      <c r="B1726" s="109" t="s">
        <v>1815</v>
      </c>
      <c r="C1726" s="310">
        <v>43251</v>
      </c>
      <c r="D1726" s="369">
        <v>43524</v>
      </c>
      <c r="E1726" s="389">
        <v>60</v>
      </c>
      <c r="F1726" s="252"/>
      <c r="G1726" s="252">
        <f t="shared" si="103"/>
        <v>5811.62</v>
      </c>
      <c r="H1726" s="252"/>
      <c r="I1726" s="146">
        <f t="shared" si="102"/>
        <v>5811.62</v>
      </c>
      <c r="J1726" s="305">
        <v>5811.62</v>
      </c>
      <c r="K1726" s="214"/>
      <c r="L1726" s="78"/>
    </row>
    <row r="1727" spans="2:12" outlineLevel="1" x14ac:dyDescent="0.2">
      <c r="B1727" s="213" t="s">
        <v>1816</v>
      </c>
      <c r="C1727" s="310">
        <v>43371</v>
      </c>
      <c r="D1727" s="369">
        <v>43529</v>
      </c>
      <c r="E1727" s="389">
        <v>60</v>
      </c>
      <c r="F1727" s="252"/>
      <c r="G1727" s="252">
        <v>9222.5400000000009</v>
      </c>
      <c r="H1727" s="252"/>
      <c r="I1727" s="146">
        <f t="shared" si="102"/>
        <v>9222.5400000000009</v>
      </c>
      <c r="J1727" s="305">
        <v>9222.5400000000009</v>
      </c>
      <c r="K1727" s="214"/>
      <c r="L1727" s="78"/>
    </row>
    <row r="1728" spans="2:12" outlineLevel="1" x14ac:dyDescent="0.2">
      <c r="B1728" s="213" t="s">
        <v>1817</v>
      </c>
      <c r="C1728" s="310">
        <v>43343</v>
      </c>
      <c r="D1728" s="369">
        <v>43524</v>
      </c>
      <c r="E1728" s="389">
        <v>70</v>
      </c>
      <c r="F1728" s="252"/>
      <c r="G1728" s="305">
        <v>16479.16</v>
      </c>
      <c r="H1728" s="252"/>
      <c r="I1728" s="146">
        <f t="shared" si="102"/>
        <v>16479.16</v>
      </c>
      <c r="J1728" s="305">
        <v>16479.16</v>
      </c>
      <c r="K1728" s="214"/>
      <c r="L1728" s="78"/>
    </row>
    <row r="1729" spans="2:12" outlineLevel="1" x14ac:dyDescent="0.2">
      <c r="B1729" s="213" t="s">
        <v>1818</v>
      </c>
      <c r="C1729" s="310">
        <v>43312</v>
      </c>
      <c r="D1729" s="369">
        <v>43646</v>
      </c>
      <c r="E1729" s="389">
        <v>20</v>
      </c>
      <c r="F1729" s="252"/>
      <c r="G1729" s="305">
        <v>4415.09</v>
      </c>
      <c r="H1729" s="252"/>
      <c r="I1729" s="146">
        <f t="shared" si="102"/>
        <v>4415.09</v>
      </c>
      <c r="J1729" s="305">
        <v>4415.09</v>
      </c>
      <c r="K1729" s="214"/>
      <c r="L1729" s="78"/>
    </row>
    <row r="1730" spans="2:12" outlineLevel="1" x14ac:dyDescent="0.2">
      <c r="B1730" s="213" t="s">
        <v>1819</v>
      </c>
      <c r="C1730" s="310">
        <v>43312</v>
      </c>
      <c r="D1730" s="369">
        <v>43524</v>
      </c>
      <c r="E1730" s="389">
        <v>60</v>
      </c>
      <c r="F1730" s="252"/>
      <c r="G1730" s="305">
        <v>6622.63</v>
      </c>
      <c r="H1730" s="252"/>
      <c r="I1730" s="146">
        <f t="shared" si="102"/>
        <v>6622.63</v>
      </c>
      <c r="J1730" s="305">
        <v>6622.63</v>
      </c>
      <c r="K1730" s="214"/>
      <c r="L1730" s="78"/>
    </row>
    <row r="1731" spans="2:12" outlineLevel="1" x14ac:dyDescent="0.2">
      <c r="B1731" s="213" t="s">
        <v>1820</v>
      </c>
      <c r="C1731" s="310">
        <v>43343</v>
      </c>
      <c r="D1731" s="369">
        <v>43764</v>
      </c>
      <c r="E1731" s="389">
        <v>30</v>
      </c>
      <c r="F1731" s="252"/>
      <c r="G1731" s="305">
        <v>5093.41</v>
      </c>
      <c r="H1731" s="252"/>
      <c r="I1731" s="146">
        <f t="shared" si="102"/>
        <v>5093.41</v>
      </c>
      <c r="J1731" s="305">
        <v>5093.41</v>
      </c>
      <c r="K1731" s="214"/>
      <c r="L1731" s="78"/>
    </row>
    <row r="1732" spans="2:12" outlineLevel="1" x14ac:dyDescent="0.2">
      <c r="B1732" s="215" t="s">
        <v>1821</v>
      </c>
      <c r="C1732" s="310">
        <v>43403</v>
      </c>
      <c r="D1732" s="369">
        <v>43612</v>
      </c>
      <c r="E1732" s="389">
        <v>50</v>
      </c>
      <c r="F1732" s="252"/>
      <c r="G1732" s="252">
        <v>4537.99</v>
      </c>
      <c r="H1732" s="252"/>
      <c r="I1732" s="146">
        <f t="shared" si="102"/>
        <v>4537.99</v>
      </c>
      <c r="J1732" s="305">
        <v>4537.99</v>
      </c>
      <c r="K1732" s="214"/>
      <c r="L1732" s="78"/>
    </row>
    <row r="1733" spans="2:12" ht="24" outlineLevel="1" x14ac:dyDescent="0.2">
      <c r="B1733" s="109" t="s">
        <v>1822</v>
      </c>
      <c r="C1733" s="310">
        <v>43131</v>
      </c>
      <c r="D1733" s="369">
        <v>43567</v>
      </c>
      <c r="E1733" s="389">
        <v>50</v>
      </c>
      <c r="F1733" s="252"/>
      <c r="G1733" s="252">
        <f t="shared" si="103"/>
        <v>5572.87</v>
      </c>
      <c r="H1733" s="252"/>
      <c r="I1733" s="146">
        <f t="shared" si="102"/>
        <v>5572.87</v>
      </c>
      <c r="J1733" s="305">
        <v>5572.87</v>
      </c>
      <c r="K1733" s="214"/>
      <c r="L1733" s="78"/>
    </row>
    <row r="1734" spans="2:12" outlineLevel="1" x14ac:dyDescent="0.2">
      <c r="B1734" s="109" t="s">
        <v>1823</v>
      </c>
      <c r="C1734" s="310">
        <v>43218</v>
      </c>
      <c r="D1734" s="369">
        <v>43552</v>
      </c>
      <c r="E1734" s="389">
        <v>40</v>
      </c>
      <c r="F1734" s="252"/>
      <c r="G1734" s="252">
        <f t="shared" si="103"/>
        <v>4368.1499999999996</v>
      </c>
      <c r="H1734" s="252"/>
      <c r="I1734" s="146">
        <f t="shared" si="102"/>
        <v>4368.1499999999996</v>
      </c>
      <c r="J1734" s="305">
        <v>4368.1499999999996</v>
      </c>
      <c r="K1734" s="214"/>
      <c r="L1734" s="78"/>
    </row>
    <row r="1735" spans="2:12" ht="24" outlineLevel="1" x14ac:dyDescent="0.2">
      <c r="B1735" s="109" t="s">
        <v>1824</v>
      </c>
      <c r="C1735" s="310">
        <v>43251</v>
      </c>
      <c r="D1735" s="369">
        <v>43621</v>
      </c>
      <c r="E1735" s="389">
        <v>60</v>
      </c>
      <c r="F1735" s="252"/>
      <c r="G1735" s="252">
        <f t="shared" si="103"/>
        <v>6226.02</v>
      </c>
      <c r="H1735" s="252"/>
      <c r="I1735" s="146">
        <f t="shared" si="102"/>
        <v>6226.02</v>
      </c>
      <c r="J1735" s="305">
        <v>6226.02</v>
      </c>
      <c r="K1735" s="214"/>
      <c r="L1735" s="78"/>
    </row>
    <row r="1736" spans="2:12" ht="24" outlineLevel="1" x14ac:dyDescent="0.2">
      <c r="B1736" s="109" t="s">
        <v>1825</v>
      </c>
      <c r="C1736" s="310">
        <v>43159</v>
      </c>
      <c r="D1736" s="369">
        <v>43609</v>
      </c>
      <c r="E1736" s="389">
        <v>60</v>
      </c>
      <c r="F1736" s="252"/>
      <c r="G1736" s="252">
        <f t="shared" si="103"/>
        <v>10025.11</v>
      </c>
      <c r="H1736" s="252"/>
      <c r="I1736" s="146">
        <f t="shared" si="102"/>
        <v>10025.11</v>
      </c>
      <c r="J1736" s="305">
        <v>10025.11</v>
      </c>
      <c r="K1736" s="214"/>
      <c r="L1736" s="78"/>
    </row>
    <row r="1737" spans="2:12" outlineLevel="1" x14ac:dyDescent="0.2">
      <c r="B1737" s="109" t="s">
        <v>1826</v>
      </c>
      <c r="C1737" s="310">
        <v>43251</v>
      </c>
      <c r="D1737" s="369">
        <v>43524</v>
      </c>
      <c r="E1737" s="389">
        <v>60</v>
      </c>
      <c r="F1737" s="252">
        <v>25500</v>
      </c>
      <c r="G1737" s="252">
        <v>9646.08</v>
      </c>
      <c r="H1737" s="252"/>
      <c r="I1737" s="146">
        <f t="shared" si="102"/>
        <v>35146.080000000002</v>
      </c>
      <c r="J1737" s="305">
        <v>35146.080000000002</v>
      </c>
      <c r="K1737" s="214"/>
      <c r="L1737" s="78"/>
    </row>
    <row r="1738" spans="2:12" ht="24" outlineLevel="1" x14ac:dyDescent="0.2">
      <c r="B1738" s="109" t="s">
        <v>1827</v>
      </c>
      <c r="C1738" s="310">
        <v>42947</v>
      </c>
      <c r="D1738" s="369">
        <v>43585</v>
      </c>
      <c r="E1738" s="389">
        <v>40</v>
      </c>
      <c r="F1738" s="252"/>
      <c r="G1738" s="252">
        <f t="shared" si="103"/>
        <v>23000</v>
      </c>
      <c r="H1738" s="252"/>
      <c r="I1738" s="146">
        <f t="shared" si="102"/>
        <v>23000</v>
      </c>
      <c r="J1738" s="305">
        <v>23000</v>
      </c>
      <c r="K1738" s="214"/>
      <c r="L1738" s="78"/>
    </row>
    <row r="1739" spans="2:12" ht="24" outlineLevel="1" x14ac:dyDescent="0.2">
      <c r="B1739" s="109" t="s">
        <v>1828</v>
      </c>
      <c r="C1739" s="310">
        <v>43131</v>
      </c>
      <c r="D1739" s="369">
        <v>43579</v>
      </c>
      <c r="E1739" s="389">
        <v>40</v>
      </c>
      <c r="F1739" s="252"/>
      <c r="G1739" s="252">
        <f t="shared" si="103"/>
        <v>11613.28</v>
      </c>
      <c r="H1739" s="252"/>
      <c r="I1739" s="146">
        <f t="shared" si="102"/>
        <v>11613.28</v>
      </c>
      <c r="J1739" s="305">
        <v>11613.28</v>
      </c>
      <c r="K1739" s="214"/>
      <c r="L1739" s="78"/>
    </row>
    <row r="1740" spans="2:12" outlineLevel="1" x14ac:dyDescent="0.2">
      <c r="B1740" s="109" t="s">
        <v>1829</v>
      </c>
      <c r="C1740" s="310">
        <v>43251</v>
      </c>
      <c r="D1740" s="369">
        <v>43524</v>
      </c>
      <c r="E1740" s="389">
        <v>60</v>
      </c>
      <c r="F1740" s="252">
        <v>4500</v>
      </c>
      <c r="G1740" s="252">
        <v>5132.08</v>
      </c>
      <c r="H1740" s="252"/>
      <c r="I1740" s="146">
        <f t="shared" si="102"/>
        <v>9632.08</v>
      </c>
      <c r="J1740" s="305">
        <v>9632.08</v>
      </c>
      <c r="K1740" s="214"/>
      <c r="L1740" s="78"/>
    </row>
    <row r="1741" spans="2:12" ht="36" outlineLevel="1" x14ac:dyDescent="0.2">
      <c r="B1741" s="109" t="s">
        <v>1830</v>
      </c>
      <c r="C1741" s="310">
        <v>42727</v>
      </c>
      <c r="D1741" s="369" t="s">
        <v>1831</v>
      </c>
      <c r="E1741" s="389"/>
      <c r="F1741" s="252"/>
      <c r="G1741" s="252">
        <f t="shared" si="103"/>
        <v>3380.75</v>
      </c>
      <c r="H1741" s="252"/>
      <c r="I1741" s="146">
        <f t="shared" si="102"/>
        <v>3380.75</v>
      </c>
      <c r="J1741" s="305">
        <v>3380.75</v>
      </c>
      <c r="K1741" s="214"/>
      <c r="L1741" s="78"/>
    </row>
    <row r="1742" spans="2:12" ht="24" outlineLevel="1" x14ac:dyDescent="0.2">
      <c r="B1742" s="213" t="s">
        <v>1832</v>
      </c>
      <c r="C1742" s="310">
        <v>43371</v>
      </c>
      <c r="D1742" s="369">
        <v>43544</v>
      </c>
      <c r="E1742" s="389">
        <v>20</v>
      </c>
      <c r="F1742" s="252"/>
      <c r="G1742" s="305">
        <v>4656.91</v>
      </c>
      <c r="H1742" s="252"/>
      <c r="I1742" s="146">
        <f t="shared" si="102"/>
        <v>4656.91</v>
      </c>
      <c r="J1742" s="305">
        <v>4656.91</v>
      </c>
      <c r="K1742" s="214"/>
      <c r="L1742" s="78"/>
    </row>
    <row r="1743" spans="2:12" ht="24" outlineLevel="1" x14ac:dyDescent="0.2">
      <c r="B1743" s="213" t="s">
        <v>1833</v>
      </c>
      <c r="C1743" s="310">
        <v>43371</v>
      </c>
      <c r="D1743" s="369">
        <v>43524</v>
      </c>
      <c r="E1743" s="389">
        <v>50</v>
      </c>
      <c r="F1743" s="252"/>
      <c r="G1743" s="305">
        <v>5239.0600000000004</v>
      </c>
      <c r="H1743" s="252"/>
      <c r="I1743" s="146">
        <f t="shared" si="102"/>
        <v>5239.0600000000004</v>
      </c>
      <c r="J1743" s="305">
        <v>5239.0600000000004</v>
      </c>
      <c r="K1743" s="214"/>
      <c r="L1743" s="78"/>
    </row>
    <row r="1744" spans="2:12" ht="24" outlineLevel="1" x14ac:dyDescent="0.2">
      <c r="B1744" s="109" t="s">
        <v>1834</v>
      </c>
      <c r="C1744" s="310">
        <v>43372</v>
      </c>
      <c r="D1744" s="369">
        <v>43705</v>
      </c>
      <c r="E1744" s="389">
        <v>20</v>
      </c>
      <c r="F1744" s="252"/>
      <c r="G1744" s="252">
        <v>13662.8</v>
      </c>
      <c r="H1744" s="252">
        <v>280.8</v>
      </c>
      <c r="I1744" s="146">
        <f t="shared" si="102"/>
        <v>13943.599999999999</v>
      </c>
      <c r="J1744" s="305">
        <f>I1744</f>
        <v>13943.599999999999</v>
      </c>
      <c r="K1744" s="214"/>
      <c r="L1744" s="78"/>
    </row>
    <row r="1745" spans="2:12" ht="24" outlineLevel="1" x14ac:dyDescent="0.2">
      <c r="B1745" s="215" t="s">
        <v>1835</v>
      </c>
      <c r="C1745" s="310">
        <v>43371</v>
      </c>
      <c r="D1745" s="369">
        <v>43539</v>
      </c>
      <c r="E1745" s="389">
        <v>50</v>
      </c>
      <c r="F1745" s="252"/>
      <c r="G1745" s="252">
        <v>4705.47</v>
      </c>
      <c r="H1745" s="252"/>
      <c r="I1745" s="146">
        <f t="shared" si="102"/>
        <v>4705.47</v>
      </c>
      <c r="J1745" s="305">
        <v>4705.47</v>
      </c>
      <c r="K1745" s="214"/>
      <c r="L1745" s="78"/>
    </row>
    <row r="1746" spans="2:12" ht="36" outlineLevel="1" x14ac:dyDescent="0.2">
      <c r="B1746" s="213" t="s">
        <v>1836</v>
      </c>
      <c r="C1746" s="310">
        <v>43371</v>
      </c>
      <c r="D1746" s="369">
        <v>43549</v>
      </c>
      <c r="E1746" s="389">
        <v>20</v>
      </c>
      <c r="F1746" s="252"/>
      <c r="G1746" s="305">
        <v>5890.8</v>
      </c>
      <c r="H1746" s="252"/>
      <c r="I1746" s="146">
        <f t="shared" ref="I1746:I1769" si="104">F1746+G1746+H1746</f>
        <v>5890.8</v>
      </c>
      <c r="J1746" s="305">
        <v>5890.8</v>
      </c>
      <c r="K1746" s="214"/>
      <c r="L1746" s="78"/>
    </row>
    <row r="1747" spans="2:12" outlineLevel="1" x14ac:dyDescent="0.2">
      <c r="B1747" s="213" t="s">
        <v>1837</v>
      </c>
      <c r="C1747" s="310">
        <v>43312</v>
      </c>
      <c r="D1747" s="369">
        <v>43552</v>
      </c>
      <c r="E1747" s="389">
        <v>60</v>
      </c>
      <c r="F1747" s="252"/>
      <c r="G1747" s="305">
        <v>7046.1</v>
      </c>
      <c r="H1747" s="252"/>
      <c r="I1747" s="146">
        <f t="shared" si="104"/>
        <v>7046.1</v>
      </c>
      <c r="J1747" s="305">
        <v>7046.1</v>
      </c>
      <c r="K1747" s="214"/>
      <c r="L1747" s="78"/>
    </row>
    <row r="1748" spans="2:12" ht="24" outlineLevel="1" x14ac:dyDescent="0.2">
      <c r="B1748" s="109" t="s">
        <v>1838</v>
      </c>
      <c r="C1748" s="310">
        <v>43069</v>
      </c>
      <c r="D1748" s="369">
        <v>43804</v>
      </c>
      <c r="E1748" s="389">
        <v>20</v>
      </c>
      <c r="F1748" s="252"/>
      <c r="G1748" s="252">
        <f t="shared" si="103"/>
        <v>15000</v>
      </c>
      <c r="H1748" s="252"/>
      <c r="I1748" s="146">
        <f t="shared" si="104"/>
        <v>15000</v>
      </c>
      <c r="J1748" s="305">
        <v>15000</v>
      </c>
      <c r="K1748" s="214"/>
      <c r="L1748" s="78"/>
    </row>
    <row r="1749" spans="2:12" ht="24" outlineLevel="1" x14ac:dyDescent="0.2">
      <c r="B1749" s="109" t="s">
        <v>1839</v>
      </c>
      <c r="C1749" s="310">
        <v>43069</v>
      </c>
      <c r="D1749" s="369">
        <v>43615</v>
      </c>
      <c r="E1749" s="389">
        <v>20</v>
      </c>
      <c r="F1749" s="252"/>
      <c r="G1749" s="252">
        <f t="shared" si="103"/>
        <v>15000</v>
      </c>
      <c r="H1749" s="252"/>
      <c r="I1749" s="146">
        <f t="shared" si="104"/>
        <v>15000</v>
      </c>
      <c r="J1749" s="305">
        <v>15000</v>
      </c>
      <c r="K1749" s="214"/>
      <c r="L1749" s="78"/>
    </row>
    <row r="1750" spans="2:12" ht="24" outlineLevel="1" x14ac:dyDescent="0.2">
      <c r="B1750" s="109" t="s">
        <v>1840</v>
      </c>
      <c r="C1750" s="310">
        <v>43218</v>
      </c>
      <c r="D1750" s="369">
        <v>43733</v>
      </c>
      <c r="E1750" s="389">
        <v>30</v>
      </c>
      <c r="F1750" s="252">
        <v>42000</v>
      </c>
      <c r="G1750" s="252">
        <v>19502.580000000002</v>
      </c>
      <c r="H1750" s="252"/>
      <c r="I1750" s="146">
        <f t="shared" si="104"/>
        <v>61502.58</v>
      </c>
      <c r="J1750" s="305">
        <v>61502.58</v>
      </c>
      <c r="K1750" s="214"/>
      <c r="L1750" s="78"/>
    </row>
    <row r="1751" spans="2:12" outlineLevel="1" x14ac:dyDescent="0.2">
      <c r="B1751" s="215" t="s">
        <v>1841</v>
      </c>
      <c r="C1751" s="310">
        <v>43403</v>
      </c>
      <c r="D1751" s="369">
        <v>43524</v>
      </c>
      <c r="E1751" s="389">
        <v>50</v>
      </c>
      <c r="F1751" s="252"/>
      <c r="G1751" s="252">
        <v>4278.0200000000004</v>
      </c>
      <c r="H1751" s="252"/>
      <c r="I1751" s="146">
        <f t="shared" si="104"/>
        <v>4278.0200000000004</v>
      </c>
      <c r="J1751" s="305">
        <v>4278.0200000000004</v>
      </c>
      <c r="K1751" s="214"/>
      <c r="L1751" s="78"/>
    </row>
    <row r="1752" spans="2:12" outlineLevel="1" x14ac:dyDescent="0.2">
      <c r="B1752" s="109" t="s">
        <v>1842</v>
      </c>
      <c r="C1752" s="310">
        <v>43218</v>
      </c>
      <c r="D1752" s="369">
        <v>43524</v>
      </c>
      <c r="E1752" s="389">
        <v>60</v>
      </c>
      <c r="F1752" s="252"/>
      <c r="G1752" s="252">
        <f t="shared" si="103"/>
        <v>5572.87</v>
      </c>
      <c r="H1752" s="252"/>
      <c r="I1752" s="146">
        <f t="shared" si="104"/>
        <v>5572.87</v>
      </c>
      <c r="J1752" s="305">
        <v>5572.87</v>
      </c>
      <c r="K1752" s="214"/>
      <c r="L1752" s="78"/>
    </row>
    <row r="1753" spans="2:12" outlineLevel="1" x14ac:dyDescent="0.2">
      <c r="B1753" s="109" t="s">
        <v>1843</v>
      </c>
      <c r="C1753" s="310">
        <v>43251</v>
      </c>
      <c r="D1753" s="369">
        <v>43710</v>
      </c>
      <c r="E1753" s="389">
        <v>30</v>
      </c>
      <c r="F1753" s="252"/>
      <c r="G1753" s="252">
        <f t="shared" si="103"/>
        <v>9000.1</v>
      </c>
      <c r="H1753" s="252"/>
      <c r="I1753" s="146">
        <f t="shared" si="104"/>
        <v>9000.1</v>
      </c>
      <c r="J1753" s="305">
        <v>9000.1</v>
      </c>
      <c r="K1753" s="214"/>
      <c r="L1753" s="78"/>
    </row>
    <row r="1754" spans="2:12" outlineLevel="1" x14ac:dyDescent="0.2">
      <c r="B1754" s="215" t="s">
        <v>1844</v>
      </c>
      <c r="C1754" s="310">
        <v>43434</v>
      </c>
      <c r="D1754" s="369">
        <v>43646</v>
      </c>
      <c r="E1754" s="389">
        <v>30</v>
      </c>
      <c r="F1754" s="252"/>
      <c r="G1754" s="252">
        <v>14830.31</v>
      </c>
      <c r="H1754" s="252"/>
      <c r="I1754" s="146">
        <f t="shared" si="104"/>
        <v>14830.31</v>
      </c>
      <c r="J1754" s="305">
        <v>14830.31</v>
      </c>
      <c r="K1754" s="214"/>
      <c r="L1754" s="78"/>
    </row>
    <row r="1755" spans="2:12" ht="36" outlineLevel="1" x14ac:dyDescent="0.2">
      <c r="B1755" s="215" t="s">
        <v>1845</v>
      </c>
      <c r="C1755" s="310">
        <v>43434</v>
      </c>
      <c r="D1755" s="369">
        <v>43599</v>
      </c>
      <c r="E1755" s="389">
        <v>20</v>
      </c>
      <c r="F1755" s="252"/>
      <c r="G1755" s="252">
        <v>4507.0600000000004</v>
      </c>
      <c r="H1755" s="252"/>
      <c r="I1755" s="146">
        <f t="shared" si="104"/>
        <v>4507.0600000000004</v>
      </c>
      <c r="J1755" s="305">
        <v>4507.0600000000004</v>
      </c>
      <c r="K1755" s="214"/>
      <c r="L1755" s="78"/>
    </row>
    <row r="1756" spans="2:12" outlineLevel="1" x14ac:dyDescent="0.2">
      <c r="B1756" s="213" t="s">
        <v>1846</v>
      </c>
      <c r="C1756" s="310">
        <v>43371</v>
      </c>
      <c r="D1756" s="369">
        <v>43543</v>
      </c>
      <c r="E1756" s="389">
        <v>60</v>
      </c>
      <c r="F1756" s="252"/>
      <c r="G1756" s="305">
        <v>4882.71</v>
      </c>
      <c r="H1756" s="252"/>
      <c r="I1756" s="146">
        <f t="shared" si="104"/>
        <v>4882.71</v>
      </c>
      <c r="J1756" s="305">
        <v>4882.71</v>
      </c>
      <c r="K1756" s="214"/>
      <c r="L1756" s="78"/>
    </row>
    <row r="1757" spans="2:12" outlineLevel="1" x14ac:dyDescent="0.2">
      <c r="B1757" s="213" t="s">
        <v>1847</v>
      </c>
      <c r="C1757" s="310">
        <v>43343</v>
      </c>
      <c r="D1757" s="369">
        <v>43500</v>
      </c>
      <c r="E1757" s="389">
        <v>60</v>
      </c>
      <c r="F1757" s="252"/>
      <c r="G1757" s="305">
        <v>5493.04</v>
      </c>
      <c r="H1757" s="252"/>
      <c r="I1757" s="146">
        <f t="shared" si="104"/>
        <v>5493.04</v>
      </c>
      <c r="J1757" s="305">
        <v>5493.04</v>
      </c>
      <c r="K1757" s="214"/>
      <c r="L1757" s="78"/>
    </row>
    <row r="1758" spans="2:12" outlineLevel="1" x14ac:dyDescent="0.2">
      <c r="B1758" s="215" t="s">
        <v>1848</v>
      </c>
      <c r="C1758" s="310">
        <v>43403</v>
      </c>
      <c r="D1758" s="369">
        <v>43565</v>
      </c>
      <c r="E1758" s="389">
        <v>20</v>
      </c>
      <c r="F1758" s="252"/>
      <c r="G1758" s="252">
        <v>5770.57</v>
      </c>
      <c r="H1758" s="252"/>
      <c r="I1758" s="146">
        <f t="shared" si="104"/>
        <v>5770.57</v>
      </c>
      <c r="J1758" s="305">
        <v>5770.57</v>
      </c>
      <c r="K1758" s="214"/>
      <c r="L1758" s="78"/>
    </row>
    <row r="1759" spans="2:12" outlineLevel="1" x14ac:dyDescent="0.2">
      <c r="B1759" s="109" t="s">
        <v>1849</v>
      </c>
      <c r="C1759" s="310">
        <v>43251</v>
      </c>
      <c r="D1759" s="369">
        <v>43510</v>
      </c>
      <c r="E1759" s="389">
        <v>60</v>
      </c>
      <c r="F1759" s="252"/>
      <c r="G1759" s="252">
        <f t="shared" si="103"/>
        <v>6183.68</v>
      </c>
      <c r="H1759" s="252"/>
      <c r="I1759" s="146">
        <f t="shared" si="104"/>
        <v>6183.68</v>
      </c>
      <c r="J1759" s="305">
        <v>6183.68</v>
      </c>
      <c r="K1759" s="214"/>
      <c r="L1759" s="78"/>
    </row>
    <row r="1760" spans="2:12" outlineLevel="1" x14ac:dyDescent="0.2">
      <c r="B1760" s="109" t="s">
        <v>1850</v>
      </c>
      <c r="C1760" s="310">
        <v>43218</v>
      </c>
      <c r="D1760" s="369">
        <v>43813</v>
      </c>
      <c r="E1760" s="389">
        <v>30</v>
      </c>
      <c r="F1760" s="252"/>
      <c r="G1760" s="252">
        <f t="shared" si="103"/>
        <v>9541.26</v>
      </c>
      <c r="H1760" s="252"/>
      <c r="I1760" s="146">
        <f t="shared" si="104"/>
        <v>9541.26</v>
      </c>
      <c r="J1760" s="305">
        <v>9541.26</v>
      </c>
      <c r="K1760" s="214"/>
      <c r="L1760" s="78"/>
    </row>
    <row r="1761" spans="2:12" outlineLevel="1" x14ac:dyDescent="0.2">
      <c r="B1761" s="215" t="s">
        <v>1851</v>
      </c>
      <c r="C1761" s="310">
        <v>43434</v>
      </c>
      <c r="D1761" s="369">
        <v>43524</v>
      </c>
      <c r="E1761" s="389">
        <v>60</v>
      </c>
      <c r="F1761" s="252"/>
      <c r="G1761" s="252">
        <v>5139.1000000000004</v>
      </c>
      <c r="H1761" s="252"/>
      <c r="I1761" s="146">
        <f t="shared" si="104"/>
        <v>5139.1000000000004</v>
      </c>
      <c r="J1761" s="305">
        <v>5139.1000000000004</v>
      </c>
      <c r="K1761" s="214"/>
      <c r="L1761" s="78"/>
    </row>
    <row r="1762" spans="2:12" ht="24" outlineLevel="1" x14ac:dyDescent="0.2">
      <c r="B1762" s="109" t="s">
        <v>1852</v>
      </c>
      <c r="C1762" s="310">
        <v>42704</v>
      </c>
      <c r="D1762" s="369">
        <v>43830</v>
      </c>
      <c r="E1762" s="389">
        <v>70</v>
      </c>
      <c r="F1762" s="252">
        <v>32337.83</v>
      </c>
      <c r="G1762" s="252"/>
      <c r="H1762" s="252"/>
      <c r="I1762" s="146">
        <f t="shared" si="104"/>
        <v>32337.83</v>
      </c>
      <c r="J1762" s="305">
        <v>32337.83</v>
      </c>
      <c r="K1762" s="214"/>
      <c r="L1762" s="78"/>
    </row>
    <row r="1763" spans="2:12" ht="24" outlineLevel="1" x14ac:dyDescent="0.2">
      <c r="B1763" s="109" t="s">
        <v>1853</v>
      </c>
      <c r="C1763" s="310">
        <v>43131</v>
      </c>
      <c r="D1763" s="369">
        <v>43830</v>
      </c>
      <c r="E1763" s="389">
        <v>40</v>
      </c>
      <c r="F1763" s="252"/>
      <c r="G1763" s="252">
        <f t="shared" si="103"/>
        <v>5604.42</v>
      </c>
      <c r="H1763" s="252"/>
      <c r="I1763" s="146">
        <f t="shared" si="104"/>
        <v>5604.42</v>
      </c>
      <c r="J1763" s="305">
        <v>5604.42</v>
      </c>
      <c r="K1763" s="214"/>
      <c r="L1763" s="78"/>
    </row>
    <row r="1764" spans="2:12" outlineLevel="1" x14ac:dyDescent="0.2">
      <c r="B1764" s="109" t="s">
        <v>1854</v>
      </c>
      <c r="C1764" s="310">
        <v>42655</v>
      </c>
      <c r="D1764" s="369">
        <v>43830</v>
      </c>
      <c r="E1764" s="389">
        <v>60</v>
      </c>
      <c r="F1764" s="252"/>
      <c r="G1764" s="252">
        <f t="shared" si="103"/>
        <v>8817.58</v>
      </c>
      <c r="H1764" s="252"/>
      <c r="I1764" s="146">
        <f t="shared" si="104"/>
        <v>8817.58</v>
      </c>
      <c r="J1764" s="305">
        <v>8817.58</v>
      </c>
      <c r="K1764" s="214"/>
      <c r="L1764" s="78"/>
    </row>
    <row r="1765" spans="2:12" ht="24" outlineLevel="1" x14ac:dyDescent="0.2">
      <c r="B1765" s="109" t="s">
        <v>1855</v>
      </c>
      <c r="C1765" s="310">
        <v>43038</v>
      </c>
      <c r="D1765" s="369">
        <v>43830</v>
      </c>
      <c r="E1765" s="389">
        <v>20</v>
      </c>
      <c r="F1765" s="252">
        <v>21249.78</v>
      </c>
      <c r="G1765" s="252">
        <v>13870.14</v>
      </c>
      <c r="H1765" s="252"/>
      <c r="I1765" s="146">
        <f t="shared" si="104"/>
        <v>35119.919999999998</v>
      </c>
      <c r="J1765" s="305">
        <v>35119.919999999998</v>
      </c>
      <c r="K1765" s="214"/>
      <c r="L1765" s="78"/>
    </row>
    <row r="1766" spans="2:12" ht="24" outlineLevel="1" x14ac:dyDescent="0.2">
      <c r="B1766" s="109" t="s">
        <v>1856</v>
      </c>
      <c r="C1766" s="310">
        <v>43039</v>
      </c>
      <c r="D1766" s="369">
        <v>43646</v>
      </c>
      <c r="E1766" s="389">
        <v>20</v>
      </c>
      <c r="F1766" s="252"/>
      <c r="G1766" s="252">
        <f t="shared" si="103"/>
        <v>121095.94</v>
      </c>
      <c r="H1766" s="252"/>
      <c r="I1766" s="146">
        <f t="shared" si="104"/>
        <v>121095.94</v>
      </c>
      <c r="J1766" s="305">
        <v>121095.94</v>
      </c>
      <c r="K1766" s="214"/>
      <c r="L1766" s="78"/>
    </row>
    <row r="1767" spans="2:12" outlineLevel="1" x14ac:dyDescent="0.2">
      <c r="B1767" s="109" t="s">
        <v>1857</v>
      </c>
      <c r="C1767" s="310">
        <v>42885</v>
      </c>
      <c r="D1767" s="369">
        <v>43830</v>
      </c>
      <c r="E1767" s="389">
        <v>20</v>
      </c>
      <c r="F1767" s="252"/>
      <c r="G1767" s="252">
        <f t="shared" si="103"/>
        <v>23000</v>
      </c>
      <c r="H1767" s="247"/>
      <c r="I1767" s="146">
        <f t="shared" si="104"/>
        <v>23000</v>
      </c>
      <c r="J1767" s="305">
        <v>23000</v>
      </c>
      <c r="K1767" s="214"/>
      <c r="L1767" s="78"/>
    </row>
    <row r="1768" spans="2:12" ht="24.75" outlineLevel="1" thickBot="1" x14ac:dyDescent="0.25">
      <c r="B1768" s="217" t="s">
        <v>1858</v>
      </c>
      <c r="C1768" s="391">
        <v>42886</v>
      </c>
      <c r="D1768" s="384">
        <v>43830</v>
      </c>
      <c r="E1768" s="392">
        <v>20</v>
      </c>
      <c r="F1768" s="258"/>
      <c r="G1768" s="311">
        <v>22023.33</v>
      </c>
      <c r="H1768" s="311"/>
      <c r="I1768" s="147">
        <f t="shared" si="104"/>
        <v>22023.33</v>
      </c>
      <c r="J1768" s="312">
        <v>22023.33</v>
      </c>
      <c r="K1768" s="218"/>
      <c r="L1768" s="119"/>
    </row>
    <row r="1769" spans="2:12" s="222" customFormat="1" ht="12.75" thickBot="1" x14ac:dyDescent="0.25">
      <c r="B1769" s="120"/>
      <c r="C1769" s="393"/>
      <c r="D1769" s="394"/>
      <c r="E1769" s="395"/>
      <c r="F1769" s="225">
        <f>SUM(F1650:F1768)</f>
        <v>427287.01</v>
      </c>
      <c r="G1769" s="225">
        <f>SUM(G1650:G1768)</f>
        <v>1390421.4300000006</v>
      </c>
      <c r="H1769" s="225">
        <f>SUM(H1650:H1768)</f>
        <v>842.3</v>
      </c>
      <c r="I1769" s="219">
        <f t="shared" si="104"/>
        <v>1818550.7400000007</v>
      </c>
      <c r="J1769" s="219">
        <f>SUM(J1650:J1768)</f>
        <v>1818550.7400000012</v>
      </c>
      <c r="K1769" s="220"/>
      <c r="L1769" s="221"/>
    </row>
    <row r="1771" spans="2:12" ht="12.75" thickBot="1" x14ac:dyDescent="0.25"/>
    <row r="1772" spans="2:12" ht="24.75" thickBot="1" x14ac:dyDescent="0.25">
      <c r="B1772" s="83" t="s">
        <v>1859</v>
      </c>
      <c r="C1772" s="373"/>
      <c r="D1772" s="374"/>
      <c r="E1772" s="303"/>
      <c r="F1772" s="260"/>
      <c r="G1772" s="260"/>
      <c r="H1772" s="261"/>
      <c r="I1772" s="143"/>
      <c r="J1772" s="235"/>
      <c r="K1772" s="85"/>
      <c r="L1772" s="86"/>
    </row>
    <row r="1773" spans="2:12" ht="24.75" outlineLevel="1" thickBot="1" x14ac:dyDescent="0.25">
      <c r="B1773" s="223" t="s">
        <v>1860</v>
      </c>
      <c r="C1773" s="396" t="s">
        <v>1861</v>
      </c>
      <c r="D1773" s="397">
        <v>43586</v>
      </c>
      <c r="E1773" s="398">
        <v>10</v>
      </c>
      <c r="F1773" s="262"/>
      <c r="G1773" s="263">
        <f>J1773</f>
        <v>92021</v>
      </c>
      <c r="H1773" s="262"/>
      <c r="I1773" s="148">
        <f>G1773</f>
        <v>92021</v>
      </c>
      <c r="J1773" s="313">
        <v>92021</v>
      </c>
      <c r="K1773" s="121">
        <f>I1773-J1773</f>
        <v>0</v>
      </c>
      <c r="L1773" s="121">
        <f>I1773-J1773</f>
        <v>0</v>
      </c>
    </row>
    <row r="1774" spans="2:12" ht="13.5" thickBot="1" x14ac:dyDescent="0.25">
      <c r="B1774" s="224"/>
      <c r="C1774" s="318"/>
      <c r="D1774" s="373"/>
      <c r="E1774" s="399"/>
      <c r="F1774" s="225">
        <f>SUM(F1771:F1773)</f>
        <v>0</v>
      </c>
      <c r="G1774" s="225">
        <f>SUM(G1771:G1773)</f>
        <v>92021</v>
      </c>
      <c r="H1774" s="225">
        <f>SUM(H1771:H1773)</f>
        <v>0</v>
      </c>
      <c r="I1774" s="225">
        <f>SUM(I1771:I1773)</f>
        <v>92021</v>
      </c>
      <c r="J1774" s="225">
        <f>SUM(J1771:J1773)</f>
        <v>92021</v>
      </c>
      <c r="K1774" s="87"/>
      <c r="L1774" s="88"/>
    </row>
    <row r="1775" spans="2:12" x14ac:dyDescent="0.2">
      <c r="B1775" s="153"/>
      <c r="C1775" s="400"/>
      <c r="D1775" s="400"/>
      <c r="E1775" s="401"/>
      <c r="F1775" s="152"/>
      <c r="G1775" s="152"/>
      <c r="H1775" s="152"/>
      <c r="I1775" s="152"/>
      <c r="J1775" s="152"/>
      <c r="K1775" s="154"/>
      <c r="L1775" s="155"/>
    </row>
    <row r="1776" spans="2:12" ht="12.75" thickBot="1" x14ac:dyDescent="0.25">
      <c r="B1776" s="156"/>
      <c r="C1776" s="402"/>
      <c r="D1776" s="402"/>
      <c r="E1776" s="403"/>
      <c r="F1776" s="129"/>
      <c r="G1776" s="129"/>
      <c r="H1776" s="129"/>
      <c r="K1776" s="105"/>
      <c r="L1776" s="157"/>
    </row>
    <row r="1777" spans="2:12" ht="12.75" thickBot="1" x14ac:dyDescent="0.25">
      <c r="B1777" s="102" t="s">
        <v>1862</v>
      </c>
      <c r="C1777" s="385"/>
      <c r="D1777" s="385"/>
      <c r="E1777" s="386"/>
      <c r="F1777" s="144">
        <f>F1774+F1769+F1647+F1042+F1026+F1015+F912+F717+F711+F707+F552+F490+F474+F462+F426+F417+F369+F358+F330+F255</f>
        <v>689524600.64999998</v>
      </c>
      <c r="G1777" s="144">
        <f>G1774+G1769+G1647+G1042+G1026+G1015+G912+G717+G711+G707+G552+G490+G474+G462+G426+G417+G369+G358+G330+G255</f>
        <v>833340381.69000018</v>
      </c>
      <c r="H1777" s="144">
        <f>H1774+H1769+H1647+H1042+H1026+H1015+H912+H717+H711+H707+H552+H490+H474+H462+H426+H417+H369+H358+H330+H255</f>
        <v>137235633.61000004</v>
      </c>
      <c r="I1777" s="144">
        <f>I1774+I1769+I1647+I1042+I1026+I1015+I912+I717+I711+I707+I552+I490+I474+I462+I426+I417+I369+I358+I330+I255</f>
        <v>1660100615.9499993</v>
      </c>
      <c r="J1777" s="144">
        <f>J1774+J1769+J1647+J1042+J1026+J1015+J912+J717+J711+J707+J552+J490+J474+J462+J426+J417+J369+J358+J330+J255</f>
        <v>1660100615.9499993</v>
      </c>
      <c r="K1777" s="103"/>
      <c r="L1777" s="104"/>
    </row>
    <row r="1781" spans="2:12" x14ac:dyDescent="0.2">
      <c r="B1781" s="12" t="s">
        <v>1863</v>
      </c>
      <c r="C1781" s="402"/>
      <c r="D1781" s="402"/>
      <c r="E1781" s="403" t="s">
        <v>467</v>
      </c>
    </row>
    <row r="1782" spans="2:12" x14ac:dyDescent="0.2">
      <c r="B1782" s="12"/>
      <c r="C1782" s="402"/>
      <c r="D1782" s="402"/>
      <c r="E1782" s="403"/>
    </row>
    <row r="1783" spans="2:12" x14ac:dyDescent="0.2">
      <c r="B1783" s="12"/>
      <c r="C1783" s="402"/>
      <c r="D1783" s="402"/>
      <c r="E1783" s="403"/>
    </row>
    <row r="1784" spans="2:12" x14ac:dyDescent="0.2">
      <c r="B1784" s="12"/>
      <c r="C1784" s="402"/>
      <c r="D1784" s="402"/>
      <c r="E1784" s="403"/>
    </row>
    <row r="1785" spans="2:12" x14ac:dyDescent="0.2">
      <c r="B1785" s="12" t="s">
        <v>468</v>
      </c>
      <c r="C1785" s="402"/>
      <c r="D1785" s="402"/>
      <c r="E1785" s="403"/>
    </row>
    <row r="1786" spans="2:12" x14ac:dyDescent="0.2">
      <c r="B1786" s="12"/>
      <c r="C1786" s="402"/>
      <c r="D1786" s="402"/>
      <c r="E1786" s="403"/>
    </row>
    <row r="1787" spans="2:12" x14ac:dyDescent="0.2">
      <c r="B1787" s="12" t="s">
        <v>1864</v>
      </c>
      <c r="C1787" s="402" t="s">
        <v>1868</v>
      </c>
      <c r="D1787" s="402" t="s">
        <v>1870</v>
      </c>
      <c r="E1787" s="403" t="s">
        <v>469</v>
      </c>
    </row>
    <row r="1788" spans="2:12" x14ac:dyDescent="0.2">
      <c r="B1788" s="12"/>
      <c r="C1788" s="402"/>
      <c r="D1788" s="402"/>
      <c r="E1788" s="403"/>
    </row>
    <row r="1789" spans="2:12" x14ac:dyDescent="0.2">
      <c r="B1789" s="12" t="s">
        <v>1865</v>
      </c>
      <c r="C1789" s="402" t="s">
        <v>1869</v>
      </c>
      <c r="D1789" s="402" t="s">
        <v>1871</v>
      </c>
      <c r="E1789" s="403" t="s">
        <v>1872</v>
      </c>
    </row>
    <row r="1790" spans="2:12" x14ac:dyDescent="0.2">
      <c r="B1790" s="12"/>
      <c r="C1790" s="402"/>
      <c r="D1790" s="402"/>
      <c r="E1790" s="403"/>
    </row>
    <row r="1791" spans="2:12" x14ac:dyDescent="0.2">
      <c r="B1791" s="12" t="s">
        <v>1866</v>
      </c>
      <c r="C1791" s="402" t="s">
        <v>1871</v>
      </c>
      <c r="D1791" s="402" t="s">
        <v>1871</v>
      </c>
      <c r="E1791" s="403" t="s">
        <v>1867</v>
      </c>
    </row>
    <row r="1792" spans="2:12" x14ac:dyDescent="0.2">
      <c r="B1792" s="12"/>
      <c r="C1792" s="402"/>
      <c r="D1792" s="402"/>
      <c r="E1792" s="403"/>
    </row>
  </sheetData>
  <sheetProtection selectLockedCells="1" selectUnlockedCells="1"/>
  <autoFilter ref="A8:AO8"/>
  <mergeCells count="224">
    <mergeCell ref="B1:L6"/>
    <mergeCell ref="A1023:A1026"/>
    <mergeCell ref="L560:L561"/>
    <mergeCell ref="B565:B569"/>
    <mergeCell ref="C565:C566"/>
    <mergeCell ref="D565:D566"/>
    <mergeCell ref="E565:E566"/>
    <mergeCell ref="F565:F566"/>
    <mergeCell ref="G565:G566"/>
    <mergeCell ref="H565:H566"/>
    <mergeCell ref="I565:I566"/>
    <mergeCell ref="J565:J566"/>
    <mergeCell ref="K565:K566"/>
    <mergeCell ref="L565:L566"/>
    <mergeCell ref="G560:G561"/>
    <mergeCell ref="H560:H561"/>
    <mergeCell ref="I560:I561"/>
    <mergeCell ref="J560:J561"/>
    <mergeCell ref="K560:K561"/>
    <mergeCell ref="B560:B564"/>
    <mergeCell ref="C560:C561"/>
    <mergeCell ref="D560:D561"/>
    <mergeCell ref="E560:E561"/>
    <mergeCell ref="F560:F561"/>
    <mergeCell ref="L570:L571"/>
    <mergeCell ref="B575:B578"/>
    <mergeCell ref="C575:C576"/>
    <mergeCell ref="D575:D576"/>
    <mergeCell ref="E575:E576"/>
    <mergeCell ref="F575:F576"/>
    <mergeCell ref="G575:G576"/>
    <mergeCell ref="H575:H576"/>
    <mergeCell ref="I575:I576"/>
    <mergeCell ref="J575:J576"/>
    <mergeCell ref="K575:K576"/>
    <mergeCell ref="L575:L576"/>
    <mergeCell ref="G570:G571"/>
    <mergeCell ref="H570:H571"/>
    <mergeCell ref="I570:I571"/>
    <mergeCell ref="J570:J571"/>
    <mergeCell ref="K570:K571"/>
    <mergeCell ref="B570:B574"/>
    <mergeCell ref="C570:C571"/>
    <mergeCell ref="D570:D571"/>
    <mergeCell ref="E570:E571"/>
    <mergeCell ref="F570:F571"/>
    <mergeCell ref="L581:L583"/>
    <mergeCell ref="B586:B590"/>
    <mergeCell ref="E586:E588"/>
    <mergeCell ref="B591:B595"/>
    <mergeCell ref="C591:C595"/>
    <mergeCell ref="D591:D595"/>
    <mergeCell ref="E591:E595"/>
    <mergeCell ref="F591:F595"/>
    <mergeCell ref="G591:G595"/>
    <mergeCell ref="H591:H595"/>
    <mergeCell ref="I591:I595"/>
    <mergeCell ref="J591:J595"/>
    <mergeCell ref="K591:K595"/>
    <mergeCell ref="L591:L595"/>
    <mergeCell ref="G581:G583"/>
    <mergeCell ref="H581:H583"/>
    <mergeCell ref="I581:I583"/>
    <mergeCell ref="J581:J583"/>
    <mergeCell ref="K581:K583"/>
    <mergeCell ref="B581:B585"/>
    <mergeCell ref="C581:C583"/>
    <mergeCell ref="D581:D583"/>
    <mergeCell ref="E581:E583"/>
    <mergeCell ref="F581:F583"/>
    <mergeCell ref="L596:L600"/>
    <mergeCell ref="B601:B605"/>
    <mergeCell ref="C601:C605"/>
    <mergeCell ref="D601:D605"/>
    <mergeCell ref="E601:E605"/>
    <mergeCell ref="F601:F605"/>
    <mergeCell ref="G601:G605"/>
    <mergeCell ref="H601:H605"/>
    <mergeCell ref="I601:I605"/>
    <mergeCell ref="J601:J605"/>
    <mergeCell ref="K601:K605"/>
    <mergeCell ref="L601:L605"/>
    <mergeCell ref="G596:G600"/>
    <mergeCell ref="H596:H600"/>
    <mergeCell ref="I596:I600"/>
    <mergeCell ref="J596:J600"/>
    <mergeCell ref="K596:K600"/>
    <mergeCell ref="B596:B600"/>
    <mergeCell ref="C596:C600"/>
    <mergeCell ref="D596:D600"/>
    <mergeCell ref="E596:E600"/>
    <mergeCell ref="F596:F600"/>
    <mergeCell ref="L609:L613"/>
    <mergeCell ref="B621:B623"/>
    <mergeCell ref="C621:C623"/>
    <mergeCell ref="D621:D623"/>
    <mergeCell ref="E621:E623"/>
    <mergeCell ref="F621:F623"/>
    <mergeCell ref="G621:G623"/>
    <mergeCell ref="H621:H623"/>
    <mergeCell ref="I621:I623"/>
    <mergeCell ref="J621:J623"/>
    <mergeCell ref="K621:K623"/>
    <mergeCell ref="L621:L623"/>
    <mergeCell ref="G609:G613"/>
    <mergeCell ref="H609:H613"/>
    <mergeCell ref="I609:I613"/>
    <mergeCell ref="J609:J613"/>
    <mergeCell ref="K609:K613"/>
    <mergeCell ref="B609:B613"/>
    <mergeCell ref="C609:C613"/>
    <mergeCell ref="D609:D613"/>
    <mergeCell ref="E609:E613"/>
    <mergeCell ref="F609:F613"/>
    <mergeCell ref="L625:L629"/>
    <mergeCell ref="B635:B639"/>
    <mergeCell ref="C635:C639"/>
    <mergeCell ref="D635:D639"/>
    <mergeCell ref="E635:E639"/>
    <mergeCell ref="F635:F639"/>
    <mergeCell ref="G635:G639"/>
    <mergeCell ref="H635:H639"/>
    <mergeCell ref="I635:I639"/>
    <mergeCell ref="J635:J639"/>
    <mergeCell ref="K635:K637"/>
    <mergeCell ref="L635:L637"/>
    <mergeCell ref="G625:G629"/>
    <mergeCell ref="H625:H629"/>
    <mergeCell ref="I625:I629"/>
    <mergeCell ref="J625:J629"/>
    <mergeCell ref="K625:K629"/>
    <mergeCell ref="B625:B629"/>
    <mergeCell ref="C625:C629"/>
    <mergeCell ref="D625:D629"/>
    <mergeCell ref="E625:E629"/>
    <mergeCell ref="F625:F629"/>
    <mergeCell ref="L641:L642"/>
    <mergeCell ref="B663:B667"/>
    <mergeCell ref="C663:C667"/>
    <mergeCell ref="D663:D667"/>
    <mergeCell ref="E663:E667"/>
    <mergeCell ref="F663:F665"/>
    <mergeCell ref="G663:G667"/>
    <mergeCell ref="H663:H667"/>
    <mergeCell ref="I663:I667"/>
    <mergeCell ref="J663:J667"/>
    <mergeCell ref="K663:K665"/>
    <mergeCell ref="L663:L665"/>
    <mergeCell ref="G641:G645"/>
    <mergeCell ref="H641:H645"/>
    <mergeCell ref="I641:I645"/>
    <mergeCell ref="J641:J645"/>
    <mergeCell ref="K641:K642"/>
    <mergeCell ref="B641:B645"/>
    <mergeCell ref="C641:C645"/>
    <mergeCell ref="D641:D645"/>
    <mergeCell ref="E641:E645"/>
    <mergeCell ref="F641:F645"/>
    <mergeCell ref="L669:L670"/>
    <mergeCell ref="B676:B680"/>
    <mergeCell ref="C676:C680"/>
    <mergeCell ref="D676:D680"/>
    <mergeCell ref="E676:E680"/>
    <mergeCell ref="F676:F680"/>
    <mergeCell ref="G676:G680"/>
    <mergeCell ref="H676:H680"/>
    <mergeCell ref="I676:I680"/>
    <mergeCell ref="J676:J680"/>
    <mergeCell ref="K676:K677"/>
    <mergeCell ref="L676:L677"/>
    <mergeCell ref="G669:G673"/>
    <mergeCell ref="H669:H673"/>
    <mergeCell ref="I669:I673"/>
    <mergeCell ref="J669:J673"/>
    <mergeCell ref="K669:K670"/>
    <mergeCell ref="B669:B673"/>
    <mergeCell ref="C669:C673"/>
    <mergeCell ref="D669:D673"/>
    <mergeCell ref="E669:E673"/>
    <mergeCell ref="F669:F673"/>
    <mergeCell ref="L683:L684"/>
    <mergeCell ref="B691:B695"/>
    <mergeCell ref="C691:C695"/>
    <mergeCell ref="D691:D695"/>
    <mergeCell ref="E691:E695"/>
    <mergeCell ref="F691:F695"/>
    <mergeCell ref="G691:G695"/>
    <mergeCell ref="H691:H695"/>
    <mergeCell ref="I691:I695"/>
    <mergeCell ref="J691:J695"/>
    <mergeCell ref="K691:K693"/>
    <mergeCell ref="L691:L693"/>
    <mergeCell ref="G683:G687"/>
    <mergeCell ref="H683:H687"/>
    <mergeCell ref="I683:I687"/>
    <mergeCell ref="J683:J687"/>
    <mergeCell ref="K683:K684"/>
    <mergeCell ref="B683:B687"/>
    <mergeCell ref="C683:C687"/>
    <mergeCell ref="D683:D687"/>
    <mergeCell ref="E683:E687"/>
    <mergeCell ref="F683:F687"/>
    <mergeCell ref="L696:L698"/>
    <mergeCell ref="B701:B705"/>
    <mergeCell ref="C701:C705"/>
    <mergeCell ref="D701:D705"/>
    <mergeCell ref="E701:E705"/>
    <mergeCell ref="F701:F705"/>
    <mergeCell ref="G701:G705"/>
    <mergeCell ref="H701:H705"/>
    <mergeCell ref="I701:I705"/>
    <mergeCell ref="J701:J705"/>
    <mergeCell ref="K701:K703"/>
    <mergeCell ref="L701:L703"/>
    <mergeCell ref="G696:G700"/>
    <mergeCell ref="H696:H700"/>
    <mergeCell ref="I696:I700"/>
    <mergeCell ref="J696:J700"/>
    <mergeCell ref="K696:K698"/>
    <mergeCell ref="B696:B700"/>
    <mergeCell ref="C696:C700"/>
    <mergeCell ref="D696:D700"/>
    <mergeCell ref="E696:E700"/>
    <mergeCell ref="F696:F700"/>
  </mergeCells>
  <phoneticPr fontId="0" type="noConversion"/>
  <conditionalFormatting sqref="B566:B568">
    <cfRule type="duplicateValues" dxfId="4" priority="5" stopIfTrue="1"/>
  </conditionalFormatting>
  <conditionalFormatting sqref="B792">
    <cfRule type="duplicateValues" dxfId="3" priority="3" stopIfTrue="1"/>
  </conditionalFormatting>
  <conditionalFormatting sqref="G568">
    <cfRule type="duplicateValues" dxfId="2" priority="6" stopIfTrue="1"/>
  </conditionalFormatting>
  <conditionalFormatting sqref="G792">
    <cfRule type="duplicateValues" dxfId="1" priority="7" stopIfTrue="1"/>
  </conditionalFormatting>
  <conditionalFormatting sqref="G569:G570">
    <cfRule type="duplicateValues" dxfId="0" priority="8" stopIfTrue="1"/>
  </conditionalFormatting>
  <pageMargins left="3.937007874015748E-2" right="3.937007874015748E-2" top="0.27559055118110237" bottom="0.19685039370078741" header="0.31496062992125984" footer="0.31496062992125984"/>
  <pageSetup paperSize="9" scale="67" firstPageNumber="0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инвентаризация</vt:lpstr>
      <vt:lpstr>инвентаризация!Область_печати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Ковалевич Анна Рафаэловна</cp:lastModifiedBy>
  <cp:lastPrinted>2019-01-19T11:44:54Z</cp:lastPrinted>
  <dcterms:created xsi:type="dcterms:W3CDTF">2012-02-13T09:39:08Z</dcterms:created>
  <dcterms:modified xsi:type="dcterms:W3CDTF">2019-02-04T10:46:59Z</dcterms:modified>
</cp:coreProperties>
</file>