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workbookProtection workbookPassword="D27F" lockStructure="1"/>
  <bookViews>
    <workbookView xWindow="-5325" yWindow="0" windowWidth="23100" windowHeight="12360"/>
  </bookViews>
  <sheets>
    <sheet name="инвентаризация" sheetId="1" r:id="rId1"/>
  </sheets>
  <externalReferences>
    <externalReference r:id="rId2"/>
  </externalReferences>
  <definedNames>
    <definedName name="_xlnm.Print_Area" localSheetId="0">инвентаризация!$A$1:$L$1459</definedName>
  </definedNames>
  <calcPr calcId="145621"/>
</workbook>
</file>

<file path=xl/calcChain.xml><?xml version="1.0" encoding="utf-8"?>
<calcChain xmlns="http://schemas.openxmlformats.org/spreadsheetml/2006/main">
  <c r="F1433" i="1" l="1"/>
  <c r="G1433" i="1"/>
  <c r="F406" i="1"/>
  <c r="E406" i="1"/>
  <c r="H1432" i="1"/>
  <c r="I1415" i="1"/>
  <c r="H1415" i="1"/>
  <c r="H1413" i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22" i="1"/>
  <c r="I1422" i="1" s="1"/>
  <c r="F1432" i="1"/>
  <c r="H597" i="1"/>
  <c r="I597" i="1" s="1"/>
  <c r="H598" i="1"/>
  <c r="I598" i="1" s="1"/>
  <c r="H599" i="1"/>
  <c r="I599" i="1" s="1"/>
  <c r="H600" i="1"/>
  <c r="I600" i="1" s="1"/>
  <c r="H601" i="1"/>
  <c r="I601" i="1" s="1"/>
  <c r="H596" i="1"/>
  <c r="I596" i="1" s="1"/>
  <c r="I1419" i="1"/>
  <c r="H1419" i="1"/>
  <c r="G1419" i="1"/>
  <c r="F1419" i="1"/>
  <c r="E1419" i="1"/>
  <c r="I1432" i="1" l="1"/>
  <c r="H790" i="1"/>
  <c r="I790" i="1" s="1"/>
  <c r="I822" i="1" s="1"/>
  <c r="H80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1" i="1"/>
  <c r="H792" i="1"/>
  <c r="H793" i="1"/>
  <c r="H794" i="1"/>
  <c r="H795" i="1"/>
  <c r="H796" i="1"/>
  <c r="H797" i="1"/>
  <c r="H798" i="1"/>
  <c r="H799" i="1"/>
  <c r="H800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771" i="1"/>
  <c r="E1108" i="1"/>
  <c r="H1108" i="1" s="1"/>
  <c r="I929" i="1"/>
  <c r="H929" i="1"/>
  <c r="F916" i="1"/>
  <c r="H916" i="1" s="1"/>
  <c r="H826" i="1"/>
  <c r="H827" i="1"/>
  <c r="H828" i="1"/>
  <c r="H829" i="1"/>
  <c r="H831" i="1"/>
  <c r="H832" i="1"/>
  <c r="H833" i="1"/>
  <c r="H834" i="1"/>
  <c r="H835" i="1"/>
  <c r="H836" i="1"/>
  <c r="H837" i="1"/>
  <c r="H838" i="1"/>
  <c r="H839" i="1"/>
  <c r="H840" i="1"/>
  <c r="H842" i="1"/>
  <c r="H843" i="1"/>
  <c r="H844" i="1"/>
  <c r="H845" i="1"/>
  <c r="H846" i="1"/>
  <c r="H847" i="1"/>
  <c r="H849" i="1"/>
  <c r="H850" i="1"/>
  <c r="H851" i="1"/>
  <c r="H852" i="1"/>
  <c r="H854" i="1"/>
  <c r="H855" i="1"/>
  <c r="H856" i="1"/>
  <c r="H857" i="1"/>
  <c r="H859" i="1"/>
  <c r="H861" i="1"/>
  <c r="H862" i="1"/>
  <c r="H863" i="1"/>
  <c r="H864" i="1"/>
  <c r="H865" i="1"/>
  <c r="H866" i="1"/>
  <c r="H867" i="1"/>
  <c r="H868" i="1"/>
  <c r="H869" i="1"/>
  <c r="H871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7" i="1"/>
  <c r="H888" i="1"/>
  <c r="H889" i="1"/>
  <c r="H890" i="1"/>
  <c r="H891" i="1"/>
  <c r="H892" i="1"/>
  <c r="H893" i="1"/>
  <c r="H895" i="1"/>
  <c r="H896" i="1"/>
  <c r="H897" i="1"/>
  <c r="H898" i="1"/>
  <c r="H899" i="1"/>
  <c r="H900" i="1"/>
  <c r="H901" i="1"/>
  <c r="H903" i="1"/>
  <c r="H904" i="1"/>
  <c r="H905" i="1"/>
  <c r="H908" i="1"/>
  <c r="H909" i="1"/>
  <c r="H910" i="1"/>
  <c r="H911" i="1"/>
  <c r="H912" i="1"/>
  <c r="H913" i="1"/>
  <c r="H914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30" i="1"/>
  <c r="H932" i="1"/>
  <c r="H933" i="1"/>
  <c r="H934" i="1"/>
  <c r="H935" i="1"/>
  <c r="H936" i="1"/>
  <c r="H937" i="1"/>
  <c r="H938" i="1"/>
  <c r="H939" i="1"/>
  <c r="H940" i="1"/>
  <c r="H941" i="1"/>
  <c r="H943" i="1"/>
  <c r="H944" i="1"/>
  <c r="H945" i="1"/>
  <c r="H946" i="1"/>
  <c r="H947" i="1"/>
  <c r="H948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4" i="1"/>
  <c r="H965" i="1"/>
  <c r="H966" i="1"/>
  <c r="H969" i="1"/>
  <c r="H970" i="1"/>
  <c r="H971" i="1"/>
  <c r="H972" i="1"/>
  <c r="H973" i="1"/>
  <c r="H974" i="1"/>
  <c r="H975" i="1"/>
  <c r="H976" i="1"/>
  <c r="H980" i="1"/>
  <c r="H981" i="1"/>
  <c r="H982" i="1"/>
  <c r="H983" i="1"/>
  <c r="H984" i="1"/>
  <c r="H985" i="1"/>
  <c r="H986" i="1"/>
  <c r="H987" i="1"/>
  <c r="H991" i="1"/>
  <c r="H992" i="1"/>
  <c r="H993" i="1"/>
  <c r="H994" i="1"/>
  <c r="H995" i="1"/>
  <c r="H997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2" i="1"/>
  <c r="H1013" i="1"/>
  <c r="H1014" i="1"/>
  <c r="H1015" i="1"/>
  <c r="H1016" i="1"/>
  <c r="H1017" i="1"/>
  <c r="H1018" i="1"/>
  <c r="H1019" i="1"/>
  <c r="H1020" i="1"/>
  <c r="H1021" i="1"/>
  <c r="H1022" i="1"/>
  <c r="H1025" i="1"/>
  <c r="H1026" i="1"/>
  <c r="H1027" i="1"/>
  <c r="H1028" i="1"/>
  <c r="H1029" i="1"/>
  <c r="H1030" i="1"/>
  <c r="H1031" i="1"/>
  <c r="H1032" i="1"/>
  <c r="H1033" i="1"/>
  <c r="H1035" i="1"/>
  <c r="H1036" i="1"/>
  <c r="H1037" i="1"/>
  <c r="H1038" i="1"/>
  <c r="H1040" i="1"/>
  <c r="I1040" i="1" s="1"/>
  <c r="H1041" i="1"/>
  <c r="H1042" i="1"/>
  <c r="H1043" i="1"/>
  <c r="H1044" i="1"/>
  <c r="H1045" i="1"/>
  <c r="H1047" i="1"/>
  <c r="H1048" i="1"/>
  <c r="H1050" i="1"/>
  <c r="H1051" i="1"/>
  <c r="H1053" i="1"/>
  <c r="H1054" i="1"/>
  <c r="H1055" i="1"/>
  <c r="H1056" i="1"/>
  <c r="H1057" i="1"/>
  <c r="H1059" i="1"/>
  <c r="H1061" i="1"/>
  <c r="H1062" i="1"/>
  <c r="H1064" i="1"/>
  <c r="H1065" i="1"/>
  <c r="H1069" i="1"/>
  <c r="H1071" i="1"/>
  <c r="H1072" i="1"/>
  <c r="H1073" i="1"/>
  <c r="H1074" i="1"/>
  <c r="H1075" i="1"/>
  <c r="H1076" i="1"/>
  <c r="H1077" i="1"/>
  <c r="H1081" i="1"/>
  <c r="H1082" i="1"/>
  <c r="H1084" i="1"/>
  <c r="H1085" i="1"/>
  <c r="H1086" i="1"/>
  <c r="H1087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9" i="1"/>
  <c r="H1111" i="1"/>
  <c r="H1113" i="1"/>
  <c r="H1114" i="1"/>
  <c r="H1115" i="1"/>
  <c r="H1116" i="1"/>
  <c r="H1117" i="1"/>
  <c r="H1118" i="1"/>
  <c r="H1119" i="1"/>
  <c r="H1120" i="1"/>
  <c r="H1121" i="1"/>
  <c r="H1122" i="1"/>
  <c r="H1123" i="1"/>
  <c r="H1126" i="1"/>
  <c r="H1127" i="1"/>
  <c r="H1128" i="1"/>
  <c r="H1130" i="1"/>
  <c r="H1132" i="1"/>
  <c r="H1135" i="1"/>
  <c r="H1136" i="1"/>
  <c r="H1137" i="1"/>
  <c r="H1138" i="1"/>
  <c r="H1139" i="1"/>
  <c r="H1141" i="1"/>
  <c r="H1142" i="1"/>
  <c r="H1143" i="1"/>
  <c r="H1144" i="1"/>
  <c r="I1144" i="1" s="1"/>
  <c r="H1145" i="1"/>
  <c r="H1146" i="1"/>
  <c r="H1147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2" i="1"/>
  <c r="H1163" i="1"/>
  <c r="H1164" i="1"/>
  <c r="H1165" i="1"/>
  <c r="H1167" i="1"/>
  <c r="H1168" i="1"/>
  <c r="H1169" i="1"/>
  <c r="H1170" i="1"/>
  <c r="H1171" i="1"/>
  <c r="H1172" i="1"/>
  <c r="H1173" i="1"/>
  <c r="H1174" i="1"/>
  <c r="H1175" i="1"/>
  <c r="H1176" i="1"/>
  <c r="H1177" i="1"/>
  <c r="H1179" i="1"/>
  <c r="H1180" i="1"/>
  <c r="H1181" i="1"/>
  <c r="H1182" i="1"/>
  <c r="H1183" i="1"/>
  <c r="H1184" i="1"/>
  <c r="H1186" i="1"/>
  <c r="H1187" i="1"/>
  <c r="H1188" i="1"/>
  <c r="H1189" i="1"/>
  <c r="H1190" i="1"/>
  <c r="H1191" i="1"/>
  <c r="H1192" i="1"/>
  <c r="H1193" i="1"/>
  <c r="H1194" i="1"/>
  <c r="H1195" i="1"/>
  <c r="H822" i="1" l="1"/>
  <c r="I1194" i="1"/>
  <c r="I1192" i="1"/>
  <c r="I1190" i="1"/>
  <c r="I1189" i="1"/>
  <c r="I1187" i="1"/>
  <c r="I1188" i="1"/>
  <c r="I1186" i="1"/>
  <c r="F1185" i="1"/>
  <c r="H1185" i="1" s="1"/>
  <c r="I1184" i="1"/>
  <c r="F1178" i="1"/>
  <c r="H1178" i="1" s="1"/>
  <c r="I1177" i="1"/>
  <c r="I1174" i="1"/>
  <c r="I1172" i="1"/>
  <c r="I1168" i="1"/>
  <c r="F1166" i="1"/>
  <c r="E1166" i="1"/>
  <c r="I1165" i="1"/>
  <c r="F1161" i="1"/>
  <c r="E1161" i="1"/>
  <c r="I1150" i="1"/>
  <c r="F1148" i="1"/>
  <c r="H1148" i="1" s="1"/>
  <c r="I1147" i="1"/>
  <c r="I1143" i="1"/>
  <c r="F1140" i="1"/>
  <c r="E1140" i="1"/>
  <c r="I1139" i="1"/>
  <c r="I1137" i="1"/>
  <c r="I1135" i="1"/>
  <c r="F1134" i="1"/>
  <c r="H1134" i="1" s="1"/>
  <c r="F1133" i="1"/>
  <c r="H1133" i="1" s="1"/>
  <c r="I1132" i="1"/>
  <c r="F1131" i="1"/>
  <c r="H1131" i="1" s="1"/>
  <c r="F1129" i="1"/>
  <c r="H1129" i="1" s="1"/>
  <c r="I1127" i="1"/>
  <c r="F1125" i="1"/>
  <c r="H1125" i="1" s="1"/>
  <c r="I1120" i="1"/>
  <c r="I1121" i="1"/>
  <c r="F1112" i="1"/>
  <c r="H1112" i="1" s="1"/>
  <c r="F1110" i="1"/>
  <c r="H1110" i="1" s="1"/>
  <c r="F1107" i="1"/>
  <c r="H1107" i="1" s="1"/>
  <c r="I1104" i="1"/>
  <c r="I1100" i="1"/>
  <c r="I1099" i="1"/>
  <c r="I1094" i="1"/>
  <c r="I1091" i="1"/>
  <c r="I1087" i="1"/>
  <c r="I1086" i="1"/>
  <c r="I1085" i="1"/>
  <c r="F1083" i="1"/>
  <c r="H1083" i="1" s="1"/>
  <c r="F1080" i="1"/>
  <c r="E1080" i="1"/>
  <c r="F1079" i="1"/>
  <c r="E1079" i="1"/>
  <c r="F1078" i="1"/>
  <c r="H1078" i="1" s="1"/>
  <c r="I1076" i="1"/>
  <c r="F1070" i="1"/>
  <c r="H1070" i="1" s="1"/>
  <c r="I1069" i="1"/>
  <c r="F1068" i="1"/>
  <c r="H1068" i="1" s="1"/>
  <c r="E1067" i="1"/>
  <c r="H1067" i="1" s="1"/>
  <c r="F1066" i="1"/>
  <c r="H1066" i="1" s="1"/>
  <c r="F1063" i="1"/>
  <c r="I1062" i="1"/>
  <c r="F1060" i="1"/>
  <c r="H1060" i="1" s="1"/>
  <c r="I1059" i="1"/>
  <c r="F1058" i="1"/>
  <c r="H1058" i="1" s="1"/>
  <c r="I1057" i="1"/>
  <c r="I1054" i="1"/>
  <c r="I1053" i="1"/>
  <c r="F1052" i="1"/>
  <c r="H1052" i="1" s="1"/>
  <c r="I1050" i="1"/>
  <c r="F1049" i="1"/>
  <c r="H1049" i="1" s="1"/>
  <c r="I1047" i="1"/>
  <c r="F1046" i="1"/>
  <c r="E1046" i="1"/>
  <c r="I1043" i="1"/>
  <c r="I1042" i="1"/>
  <c r="I1041" i="1"/>
  <c r="F1039" i="1"/>
  <c r="H1039" i="1" s="1"/>
  <c r="I1035" i="1"/>
  <c r="I1036" i="1"/>
  <c r="H1046" i="1" l="1"/>
  <c r="H1080" i="1"/>
  <c r="H1161" i="1"/>
  <c r="H1079" i="1"/>
  <c r="H1140" i="1"/>
  <c r="H1063" i="1"/>
  <c r="I1063" i="1" s="1"/>
  <c r="H1166" i="1"/>
  <c r="I1028" i="1"/>
  <c r="I1025" i="1"/>
  <c r="F1024" i="1"/>
  <c r="H1024" i="1" s="1"/>
  <c r="F1023" i="1"/>
  <c r="H1023" i="1" s="1"/>
  <c r="I1022" i="1"/>
  <c r="I1019" i="1"/>
  <c r="I1020" i="1"/>
  <c r="I1021" i="1"/>
  <c r="I1016" i="1"/>
  <c r="I1017" i="1"/>
  <c r="I1014" i="1"/>
  <c r="F1011" i="1"/>
  <c r="E1011" i="1"/>
  <c r="I1006" i="1"/>
  <c r="I1001" i="1"/>
  <c r="I1002" i="1"/>
  <c r="I999" i="1"/>
  <c r="F998" i="1"/>
  <c r="E998" i="1"/>
  <c r="I997" i="1"/>
  <c r="F996" i="1"/>
  <c r="H996" i="1" s="1"/>
  <c r="I992" i="1"/>
  <c r="F990" i="1"/>
  <c r="H990" i="1" s="1"/>
  <c r="F989" i="1"/>
  <c r="H989" i="1" s="1"/>
  <c r="F988" i="1"/>
  <c r="H988" i="1" s="1"/>
  <c r="I987" i="1"/>
  <c r="I984" i="1"/>
  <c r="F979" i="1"/>
  <c r="H979" i="1" s="1"/>
  <c r="F978" i="1"/>
  <c r="H978" i="1" s="1"/>
  <c r="F977" i="1"/>
  <c r="E977" i="1"/>
  <c r="I976" i="1"/>
  <c r="I972" i="1"/>
  <c r="I973" i="1"/>
  <c r="I974" i="1"/>
  <c r="F968" i="1"/>
  <c r="H968" i="1" s="1"/>
  <c r="F967" i="1"/>
  <c r="H967" i="1" s="1"/>
  <c r="I964" i="1"/>
  <c r="F963" i="1"/>
  <c r="E963" i="1"/>
  <c r="I961" i="1"/>
  <c r="I962" i="1"/>
  <c r="I956" i="1"/>
  <c r="I954" i="1"/>
  <c r="I951" i="1"/>
  <c r="I952" i="1"/>
  <c r="I953" i="1"/>
  <c r="F949" i="1"/>
  <c r="H949" i="1" s="1"/>
  <c r="I947" i="1"/>
  <c r="F942" i="1"/>
  <c r="H942" i="1" s="1"/>
  <c r="F931" i="1"/>
  <c r="H931" i="1" s="1"/>
  <c r="I930" i="1"/>
  <c r="I927" i="1"/>
  <c r="I923" i="1"/>
  <c r="I924" i="1"/>
  <c r="I925" i="1"/>
  <c r="I926" i="1"/>
  <c r="I922" i="1"/>
  <c r="I921" i="1"/>
  <c r="I919" i="1"/>
  <c r="I918" i="1"/>
  <c r="I917" i="1"/>
  <c r="F915" i="1"/>
  <c r="E915" i="1"/>
  <c r="F907" i="1"/>
  <c r="H907" i="1" s="1"/>
  <c r="F906" i="1"/>
  <c r="H906" i="1" s="1"/>
  <c r="I904" i="1"/>
  <c r="F902" i="1"/>
  <c r="H902" i="1" s="1"/>
  <c r="E894" i="1"/>
  <c r="H894" i="1" s="1"/>
  <c r="E886" i="1"/>
  <c r="H886" i="1" s="1"/>
  <c r="I881" i="1"/>
  <c r="I879" i="1"/>
  <c r="I877" i="1"/>
  <c r="I878" i="1"/>
  <c r="I874" i="1"/>
  <c r="I875" i="1"/>
  <c r="I876" i="1"/>
  <c r="E872" i="1"/>
  <c r="H872" i="1" s="1"/>
  <c r="F870" i="1"/>
  <c r="E870" i="1"/>
  <c r="I869" i="1"/>
  <c r="I868" i="1"/>
  <c r="I867" i="1"/>
  <c r="I863" i="1"/>
  <c r="F860" i="1"/>
  <c r="H860" i="1" s="1"/>
  <c r="F858" i="1"/>
  <c r="E858" i="1"/>
  <c r="F853" i="1"/>
  <c r="E853" i="1"/>
  <c r="I852" i="1"/>
  <c r="I851" i="1"/>
  <c r="F848" i="1"/>
  <c r="H848" i="1" s="1"/>
  <c r="I847" i="1"/>
  <c r="I846" i="1"/>
  <c r="I845" i="1"/>
  <c r="F841" i="1"/>
  <c r="H841" i="1" s="1"/>
  <c r="I840" i="1"/>
  <c r="I838" i="1"/>
  <c r="F830" i="1"/>
  <c r="H830" i="1" s="1"/>
  <c r="I829" i="1"/>
  <c r="I827" i="1"/>
  <c r="I826" i="1"/>
  <c r="F825" i="1"/>
  <c r="E825" i="1"/>
  <c r="H825" i="1" l="1"/>
  <c r="H870" i="1"/>
  <c r="H915" i="1"/>
  <c r="H963" i="1"/>
  <c r="H853" i="1"/>
  <c r="H1011" i="1"/>
  <c r="H858" i="1"/>
  <c r="H977" i="1"/>
  <c r="H998" i="1"/>
  <c r="E11" i="1"/>
  <c r="E18" i="1"/>
  <c r="E19" i="1"/>
  <c r="E31" i="1"/>
  <c r="E33" i="1"/>
  <c r="H592" i="1" l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E593" i="1"/>
  <c r="F593" i="1"/>
  <c r="G593" i="1"/>
  <c r="I593" i="1"/>
  <c r="H567" i="1"/>
  <c r="H566" i="1"/>
  <c r="H565" i="1"/>
  <c r="H564" i="1"/>
  <c r="H563" i="1"/>
  <c r="H562" i="1"/>
  <c r="H561" i="1"/>
  <c r="H560" i="1"/>
  <c r="H559" i="1"/>
  <c r="H558" i="1"/>
  <c r="F1359" i="1"/>
  <c r="F1358" i="1"/>
  <c r="H1358" i="1" s="1"/>
  <c r="F1357" i="1"/>
  <c r="H1357" i="1" s="1"/>
  <c r="F1356" i="1"/>
  <c r="H1356" i="1" s="1"/>
  <c r="F1355" i="1"/>
  <c r="H1355" i="1" s="1"/>
  <c r="F1354" i="1"/>
  <c r="H1354" i="1" s="1"/>
  <c r="H1404" i="1"/>
  <c r="I1404" i="1" s="1"/>
  <c r="H1403" i="1"/>
  <c r="I1403" i="1" s="1"/>
  <c r="H1402" i="1"/>
  <c r="I1402" i="1" s="1"/>
  <c r="H1401" i="1"/>
  <c r="I1401" i="1" s="1"/>
  <c r="H1400" i="1"/>
  <c r="I1400" i="1" s="1"/>
  <c r="H1399" i="1"/>
  <c r="I1399" i="1" s="1"/>
  <c r="H1398" i="1"/>
  <c r="I1398" i="1" s="1"/>
  <c r="H1397" i="1"/>
  <c r="I1397" i="1" s="1"/>
  <c r="H1396" i="1"/>
  <c r="I1396" i="1" s="1"/>
  <c r="H1395" i="1"/>
  <c r="I1395" i="1" s="1"/>
  <c r="H1394" i="1"/>
  <c r="I1394" i="1" s="1"/>
  <c r="H1393" i="1"/>
  <c r="I1393" i="1" s="1"/>
  <c r="H1392" i="1"/>
  <c r="I1392" i="1" s="1"/>
  <c r="H1391" i="1"/>
  <c r="I1391" i="1" s="1"/>
  <c r="H1390" i="1"/>
  <c r="I1390" i="1" s="1"/>
  <c r="H1389" i="1"/>
  <c r="I1389" i="1" s="1"/>
  <c r="H1388" i="1"/>
  <c r="I1388" i="1" s="1"/>
  <c r="H1387" i="1"/>
  <c r="I1387" i="1" s="1"/>
  <c r="H1386" i="1"/>
  <c r="I1386" i="1" s="1"/>
  <c r="H1385" i="1"/>
  <c r="I1385" i="1" s="1"/>
  <c r="H1384" i="1"/>
  <c r="I1384" i="1" s="1"/>
  <c r="H1383" i="1"/>
  <c r="I1383" i="1" s="1"/>
  <c r="H1382" i="1"/>
  <c r="I1382" i="1" s="1"/>
  <c r="H1381" i="1"/>
  <c r="I1381" i="1" s="1"/>
  <c r="H1380" i="1"/>
  <c r="I1380" i="1" s="1"/>
  <c r="H1379" i="1"/>
  <c r="I1379" i="1" s="1"/>
  <c r="H1378" i="1"/>
  <c r="I1378" i="1" s="1"/>
  <c r="H1377" i="1"/>
  <c r="I1377" i="1" s="1"/>
  <c r="H1376" i="1"/>
  <c r="I1376" i="1" s="1"/>
  <c r="H1375" i="1"/>
  <c r="I1375" i="1" s="1"/>
  <c r="H1374" i="1"/>
  <c r="I1374" i="1" s="1"/>
  <c r="H1373" i="1"/>
  <c r="I1373" i="1" s="1"/>
  <c r="H1372" i="1"/>
  <c r="I1372" i="1" s="1"/>
  <c r="H1371" i="1"/>
  <c r="I1371" i="1" s="1"/>
  <c r="I1370" i="1"/>
  <c r="H1370" i="1"/>
  <c r="H1369" i="1"/>
  <c r="I1369" i="1" s="1"/>
  <c r="H1368" i="1"/>
  <c r="I1368" i="1" s="1"/>
  <c r="H1367" i="1"/>
  <c r="I1367" i="1" s="1"/>
  <c r="H1363" i="1"/>
  <c r="I1363" i="1" s="1"/>
  <c r="H1362" i="1"/>
  <c r="I1362" i="1" s="1"/>
  <c r="H1350" i="1"/>
  <c r="I1350" i="1" s="1"/>
  <c r="H1349" i="1"/>
  <c r="I1349" i="1" s="1"/>
  <c r="H1348" i="1"/>
  <c r="I1348" i="1" s="1"/>
  <c r="H1347" i="1"/>
  <c r="I1347" i="1" s="1"/>
  <c r="H1346" i="1"/>
  <c r="I1346" i="1" s="1"/>
  <c r="H1345" i="1"/>
  <c r="I1345" i="1" s="1"/>
  <c r="H1344" i="1"/>
  <c r="I1344" i="1" s="1"/>
  <c r="H1343" i="1"/>
  <c r="I1343" i="1" s="1"/>
  <c r="H1342" i="1"/>
  <c r="I1342" i="1" s="1"/>
  <c r="H1341" i="1"/>
  <c r="I1341" i="1" s="1"/>
  <c r="H1340" i="1"/>
  <c r="I1340" i="1" s="1"/>
  <c r="H1339" i="1"/>
  <c r="I1339" i="1" s="1"/>
  <c r="H1338" i="1"/>
  <c r="I1338" i="1" s="1"/>
  <c r="H1337" i="1"/>
  <c r="I1337" i="1" s="1"/>
  <c r="H1336" i="1"/>
  <c r="I1336" i="1" s="1"/>
  <c r="H1335" i="1"/>
  <c r="I1335" i="1" s="1"/>
  <c r="H1334" i="1"/>
  <c r="I1334" i="1" s="1"/>
  <c r="H1333" i="1"/>
  <c r="I1333" i="1" s="1"/>
  <c r="H1332" i="1"/>
  <c r="I1332" i="1" s="1"/>
  <c r="H1331" i="1"/>
  <c r="I1331" i="1" s="1"/>
  <c r="H1330" i="1"/>
  <c r="I1330" i="1" s="1"/>
  <c r="H1329" i="1"/>
  <c r="I1329" i="1" s="1"/>
  <c r="H1328" i="1"/>
  <c r="I1328" i="1" s="1"/>
  <c r="H1327" i="1"/>
  <c r="I1327" i="1" s="1"/>
  <c r="H1326" i="1"/>
  <c r="I1326" i="1" s="1"/>
  <c r="H1325" i="1"/>
  <c r="I1325" i="1" s="1"/>
  <c r="H1324" i="1"/>
  <c r="I1324" i="1" s="1"/>
  <c r="H1323" i="1"/>
  <c r="I1323" i="1" s="1"/>
  <c r="H1322" i="1"/>
  <c r="I1322" i="1" s="1"/>
  <c r="H1321" i="1"/>
  <c r="I1321" i="1" s="1"/>
  <c r="H1320" i="1"/>
  <c r="I1320" i="1" s="1"/>
  <c r="H1319" i="1"/>
  <c r="I1319" i="1" s="1"/>
  <c r="H1318" i="1"/>
  <c r="I1318" i="1" s="1"/>
  <c r="H1317" i="1"/>
  <c r="I1317" i="1" s="1"/>
  <c r="H1316" i="1"/>
  <c r="I1316" i="1" s="1"/>
  <c r="H1315" i="1"/>
  <c r="I1315" i="1" s="1"/>
  <c r="H1314" i="1"/>
  <c r="I1314" i="1" s="1"/>
  <c r="H1313" i="1"/>
  <c r="I1313" i="1" s="1"/>
  <c r="E1351" i="1"/>
  <c r="E1433" i="1" s="1"/>
  <c r="F1351" i="1"/>
  <c r="G1351" i="1"/>
  <c r="H1312" i="1"/>
  <c r="I1312" i="1" s="1"/>
  <c r="H1311" i="1"/>
  <c r="I1311" i="1" s="1"/>
  <c r="H1310" i="1"/>
  <c r="I1310" i="1" s="1"/>
  <c r="H1309" i="1"/>
  <c r="I1309" i="1" s="1"/>
  <c r="H1308" i="1"/>
  <c r="I1308" i="1" s="1"/>
  <c r="H1307" i="1"/>
  <c r="I1307" i="1" s="1"/>
  <c r="H1306" i="1"/>
  <c r="I1306" i="1" s="1"/>
  <c r="H1305" i="1"/>
  <c r="I1305" i="1" s="1"/>
  <c r="H1304" i="1"/>
  <c r="I1304" i="1" s="1"/>
  <c r="H1303" i="1"/>
  <c r="I1303" i="1" s="1"/>
  <c r="H1302" i="1"/>
  <c r="I1302" i="1" s="1"/>
  <c r="H1301" i="1"/>
  <c r="I1301" i="1" s="1"/>
  <c r="H1300" i="1"/>
  <c r="I1300" i="1" s="1"/>
  <c r="H1299" i="1"/>
  <c r="I1299" i="1" s="1"/>
  <c r="H1298" i="1"/>
  <c r="I1298" i="1" s="1"/>
  <c r="H1297" i="1"/>
  <c r="I1297" i="1" s="1"/>
  <c r="H1296" i="1"/>
  <c r="I1296" i="1" s="1"/>
  <c r="H1295" i="1"/>
  <c r="I1295" i="1" s="1"/>
  <c r="H1294" i="1"/>
  <c r="I1294" i="1" s="1"/>
  <c r="H1293" i="1"/>
  <c r="I1293" i="1" s="1"/>
  <c r="H1292" i="1"/>
  <c r="I1292" i="1" s="1"/>
  <c r="H1291" i="1"/>
  <c r="I1291" i="1" s="1"/>
  <c r="H1290" i="1"/>
  <c r="I1290" i="1" s="1"/>
  <c r="H1289" i="1"/>
  <c r="I1289" i="1" s="1"/>
  <c r="H1288" i="1"/>
  <c r="I1288" i="1" s="1"/>
  <c r="H1287" i="1"/>
  <c r="I1287" i="1" s="1"/>
  <c r="H1286" i="1"/>
  <c r="I1286" i="1" s="1"/>
  <c r="H1285" i="1"/>
  <c r="I1285" i="1" s="1"/>
  <c r="H1284" i="1"/>
  <c r="I1284" i="1" s="1"/>
  <c r="H1283" i="1"/>
  <c r="I1283" i="1" s="1"/>
  <c r="H1282" i="1"/>
  <c r="I1282" i="1" s="1"/>
  <c r="H1281" i="1"/>
  <c r="I1281" i="1" s="1"/>
  <c r="H1280" i="1"/>
  <c r="I1280" i="1" s="1"/>
  <c r="H1279" i="1"/>
  <c r="I1279" i="1" s="1"/>
  <c r="H1278" i="1"/>
  <c r="I1278" i="1" s="1"/>
  <c r="H1277" i="1"/>
  <c r="I1277" i="1" s="1"/>
  <c r="H1276" i="1"/>
  <c r="I1276" i="1" s="1"/>
  <c r="H1275" i="1"/>
  <c r="I1275" i="1" s="1"/>
  <c r="H1274" i="1"/>
  <c r="I1274" i="1" s="1"/>
  <c r="H1273" i="1"/>
  <c r="I1273" i="1" s="1"/>
  <c r="H1272" i="1"/>
  <c r="I1272" i="1" s="1"/>
  <c r="H1271" i="1"/>
  <c r="I1271" i="1" s="1"/>
  <c r="H1270" i="1"/>
  <c r="I1270" i="1" s="1"/>
  <c r="H1269" i="1"/>
  <c r="I1269" i="1" s="1"/>
  <c r="H1268" i="1"/>
  <c r="I1268" i="1" s="1"/>
  <c r="H1267" i="1"/>
  <c r="I1267" i="1" s="1"/>
  <c r="H1266" i="1"/>
  <c r="I1266" i="1" s="1"/>
  <c r="H1265" i="1"/>
  <c r="I1265" i="1" s="1"/>
  <c r="H1264" i="1"/>
  <c r="I1264" i="1" s="1"/>
  <c r="H1263" i="1"/>
  <c r="I1263" i="1" s="1"/>
  <c r="H1262" i="1"/>
  <c r="I1262" i="1" s="1"/>
  <c r="H1261" i="1"/>
  <c r="I1261" i="1" s="1"/>
  <c r="H1260" i="1"/>
  <c r="I1260" i="1" s="1"/>
  <c r="H1259" i="1"/>
  <c r="I1259" i="1" s="1"/>
  <c r="H1258" i="1"/>
  <c r="I1258" i="1" s="1"/>
  <c r="H1257" i="1"/>
  <c r="I1257" i="1" s="1"/>
  <c r="H1256" i="1"/>
  <c r="I1256" i="1" s="1"/>
  <c r="H1255" i="1"/>
  <c r="I1255" i="1" s="1"/>
  <c r="H1254" i="1"/>
  <c r="I1254" i="1" s="1"/>
  <c r="H1253" i="1"/>
  <c r="I1253" i="1" s="1"/>
  <c r="H1252" i="1"/>
  <c r="I1252" i="1" s="1"/>
  <c r="H1251" i="1"/>
  <c r="I1251" i="1" s="1"/>
  <c r="H1250" i="1"/>
  <c r="I1250" i="1" s="1"/>
  <c r="H1249" i="1"/>
  <c r="I1249" i="1" s="1"/>
  <c r="H1248" i="1"/>
  <c r="I1248" i="1" s="1"/>
  <c r="H1247" i="1"/>
  <c r="I1247" i="1" s="1"/>
  <c r="H1246" i="1"/>
  <c r="I1246" i="1" s="1"/>
  <c r="H1245" i="1"/>
  <c r="I1245" i="1" s="1"/>
  <c r="H1244" i="1"/>
  <c r="I1244" i="1" s="1"/>
  <c r="H1243" i="1"/>
  <c r="I1243" i="1" s="1"/>
  <c r="H1242" i="1"/>
  <c r="I1242" i="1" s="1"/>
  <c r="H1241" i="1"/>
  <c r="I1241" i="1" s="1"/>
  <c r="H1240" i="1"/>
  <c r="I1240" i="1" s="1"/>
  <c r="H1239" i="1"/>
  <c r="I1239" i="1" s="1"/>
  <c r="H1238" i="1"/>
  <c r="I1238" i="1" s="1"/>
  <c r="H1237" i="1"/>
  <c r="I1237" i="1" s="1"/>
  <c r="H1236" i="1"/>
  <c r="I1236" i="1" s="1"/>
  <c r="H1235" i="1"/>
  <c r="I1235" i="1" s="1"/>
  <c r="H1234" i="1"/>
  <c r="I1234" i="1" s="1"/>
  <c r="H1233" i="1"/>
  <c r="I1233" i="1" s="1"/>
  <c r="H1232" i="1"/>
  <c r="I1232" i="1" s="1"/>
  <c r="H1231" i="1"/>
  <c r="I1231" i="1" s="1"/>
  <c r="H1230" i="1"/>
  <c r="I1230" i="1" s="1"/>
  <c r="H1229" i="1"/>
  <c r="I1229" i="1" s="1"/>
  <c r="H1228" i="1"/>
  <c r="I1228" i="1" s="1"/>
  <c r="H1227" i="1"/>
  <c r="I1227" i="1" s="1"/>
  <c r="H1226" i="1"/>
  <c r="I1226" i="1" s="1"/>
  <c r="H1225" i="1"/>
  <c r="I1225" i="1" s="1"/>
  <c r="H1224" i="1"/>
  <c r="I1224" i="1" s="1"/>
  <c r="H1223" i="1"/>
  <c r="I1223" i="1" s="1"/>
  <c r="H1204" i="1"/>
  <c r="H1203" i="1"/>
  <c r="H1202" i="1"/>
  <c r="H1201" i="1"/>
  <c r="H1200" i="1"/>
  <c r="H1199" i="1"/>
  <c r="H1198" i="1"/>
  <c r="E1205" i="1"/>
  <c r="F1205" i="1"/>
  <c r="G1205" i="1"/>
  <c r="I1205" i="1"/>
  <c r="E822" i="1"/>
  <c r="F822" i="1"/>
  <c r="G822" i="1"/>
  <c r="H593" i="1" l="1"/>
  <c r="I1351" i="1"/>
  <c r="H1351" i="1"/>
  <c r="H1433" i="1" s="1"/>
  <c r="H1205" i="1"/>
  <c r="H768" i="1"/>
  <c r="I768" i="1" s="1"/>
  <c r="H767" i="1"/>
  <c r="I767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E769" i="1"/>
  <c r="F769" i="1"/>
  <c r="G769" i="1"/>
  <c r="I769" i="1" l="1"/>
  <c r="H769" i="1"/>
  <c r="I755" i="1" l="1"/>
  <c r="I754" i="1"/>
  <c r="A754" i="1"/>
  <c r="I753" i="1"/>
  <c r="I752" i="1"/>
  <c r="I751" i="1"/>
  <c r="I750" i="1"/>
  <c r="I749" i="1"/>
  <c r="I748" i="1"/>
  <c r="H745" i="1" l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E746" i="1"/>
  <c r="F746" i="1"/>
  <c r="G746" i="1"/>
  <c r="I746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E666" i="1"/>
  <c r="F666" i="1"/>
  <c r="G666" i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746" i="1" l="1"/>
  <c r="H666" i="1"/>
  <c r="I666" i="1" s="1"/>
  <c r="H555" i="1"/>
  <c r="F405" i="1" l="1"/>
  <c r="H405" i="1" s="1"/>
  <c r="H404" i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H396" i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H389" i="1"/>
  <c r="F388" i="1"/>
  <c r="H388" i="1" s="1"/>
  <c r="F387" i="1"/>
  <c r="H387" i="1" s="1"/>
  <c r="I406" i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9" i="1"/>
  <c r="H379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0" i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2" i="1"/>
  <c r="H362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F304" i="1"/>
  <c r="H304" i="1" s="1"/>
  <c r="H305" i="1" l="1"/>
  <c r="H371" i="1"/>
  <c r="H300" i="1"/>
  <c r="I300" i="1" s="1"/>
  <c r="G299" i="1"/>
  <c r="H299" i="1" s="1"/>
  <c r="I299" i="1" s="1"/>
  <c r="G298" i="1"/>
  <c r="H298" i="1" s="1"/>
  <c r="I298" i="1" s="1"/>
  <c r="H297" i="1"/>
  <c r="I297" i="1" s="1"/>
  <c r="E296" i="1"/>
  <c r="H296" i="1" s="1"/>
  <c r="I296" i="1" s="1"/>
  <c r="H295" i="1"/>
  <c r="I295" i="1" s="1"/>
  <c r="H294" i="1"/>
  <c r="I294" i="1" s="1"/>
  <c r="G293" i="1"/>
  <c r="E293" i="1"/>
  <c r="H292" i="1"/>
  <c r="I292" i="1" s="1"/>
  <c r="H291" i="1"/>
  <c r="I291" i="1" s="1"/>
  <c r="G290" i="1"/>
  <c r="H290" i="1" s="1"/>
  <c r="I290" i="1" s="1"/>
  <c r="H289" i="1"/>
  <c r="I289" i="1" s="1"/>
  <c r="H288" i="1"/>
  <c r="I288" i="1" s="1"/>
  <c r="H287" i="1"/>
  <c r="I287" i="1" s="1"/>
  <c r="G286" i="1"/>
  <c r="E286" i="1"/>
  <c r="G285" i="1"/>
  <c r="H285" i="1" s="1"/>
  <c r="I285" i="1" s="1"/>
  <c r="H284" i="1"/>
  <c r="I284" i="1" s="1"/>
  <c r="H283" i="1"/>
  <c r="I283" i="1" s="1"/>
  <c r="H282" i="1"/>
  <c r="I282" i="1" s="1"/>
  <c r="H281" i="1"/>
  <c r="I281" i="1" s="1"/>
  <c r="G280" i="1"/>
  <c r="E280" i="1"/>
  <c r="G279" i="1"/>
  <c r="E279" i="1"/>
  <c r="G278" i="1"/>
  <c r="E278" i="1"/>
  <c r="G277" i="1"/>
  <c r="E277" i="1"/>
  <c r="E276" i="1"/>
  <c r="H276" i="1" s="1"/>
  <c r="I276" i="1" s="1"/>
  <c r="E275" i="1"/>
  <c r="H275" i="1" s="1"/>
  <c r="I275" i="1" s="1"/>
  <c r="G274" i="1"/>
  <c r="F274" i="1"/>
  <c r="E273" i="1"/>
  <c r="H273" i="1" s="1"/>
  <c r="I273" i="1" s="1"/>
  <c r="E272" i="1"/>
  <c r="H272" i="1" s="1"/>
  <c r="I272" i="1" s="1"/>
  <c r="G271" i="1"/>
  <c r="E271" i="1"/>
  <c r="H270" i="1"/>
  <c r="I270" i="1" s="1"/>
  <c r="G269" i="1"/>
  <c r="E269" i="1"/>
  <c r="G268" i="1"/>
  <c r="H268" i="1" s="1"/>
  <c r="I268" i="1" s="1"/>
  <c r="E267" i="1"/>
  <c r="H267" i="1" s="1"/>
  <c r="I267" i="1" s="1"/>
  <c r="H266" i="1"/>
  <c r="I266" i="1" s="1"/>
  <c r="H265" i="1"/>
  <c r="I265" i="1" s="1"/>
  <c r="G264" i="1"/>
  <c r="E264" i="1"/>
  <c r="H274" i="1" l="1"/>
  <c r="I274" i="1" s="1"/>
  <c r="H278" i="1"/>
  <c r="I278" i="1" s="1"/>
  <c r="H280" i="1"/>
  <c r="I280" i="1" s="1"/>
  <c r="H406" i="1"/>
  <c r="H269" i="1"/>
  <c r="I269" i="1" s="1"/>
  <c r="H264" i="1"/>
  <c r="I264" i="1" s="1"/>
  <c r="H293" i="1"/>
  <c r="I293" i="1" s="1"/>
  <c r="H271" i="1"/>
  <c r="I271" i="1" s="1"/>
  <c r="H277" i="1"/>
  <c r="I277" i="1" s="1"/>
  <c r="H279" i="1"/>
  <c r="I279" i="1" s="1"/>
  <c r="H286" i="1"/>
  <c r="I286" i="1" s="1"/>
  <c r="H37" i="1"/>
  <c r="I37" i="1" s="1"/>
  <c r="H36" i="1"/>
  <c r="I36" i="1" s="1"/>
  <c r="H35" i="1"/>
  <c r="I35" i="1" s="1"/>
  <c r="H34" i="1"/>
  <c r="I34" i="1" s="1"/>
  <c r="H17" i="1"/>
  <c r="I17" i="1" s="1"/>
  <c r="H22" i="1"/>
  <c r="I22" i="1" s="1"/>
  <c r="F153" i="1" l="1"/>
  <c r="F144" i="1"/>
  <c r="F152" i="1"/>
  <c r="F158" i="1"/>
  <c r="G183" i="1"/>
  <c r="E183" i="1"/>
  <c r="G172" i="1" l="1"/>
  <c r="E254" i="1"/>
  <c r="E253" i="1"/>
  <c r="G253" i="1"/>
  <c r="E252" i="1"/>
  <c r="E250" i="1"/>
  <c r="G250" i="1"/>
  <c r="F249" i="1"/>
  <c r="G249" i="1"/>
  <c r="E248" i="1"/>
  <c r="E246" i="1"/>
  <c r="G246" i="1"/>
  <c r="G245" i="1"/>
  <c r="G244" i="1"/>
  <c r="G243" i="1"/>
  <c r="F243" i="1"/>
  <c r="G241" i="1"/>
  <c r="F241" i="1"/>
  <c r="G151" i="1"/>
  <c r="G237" i="1"/>
  <c r="G236" i="1"/>
  <c r="F235" i="1"/>
  <c r="G232" i="1"/>
  <c r="E232" i="1"/>
  <c r="F231" i="1"/>
  <c r="G231" i="1"/>
  <c r="E230" i="1"/>
  <c r="G229" i="1"/>
  <c r="F228" i="1"/>
  <c r="G228" i="1"/>
  <c r="G227" i="1"/>
  <c r="E226" i="1"/>
  <c r="F225" i="1"/>
  <c r="G225" i="1"/>
  <c r="F224" i="1"/>
  <c r="E224" i="1"/>
  <c r="G224" i="1"/>
  <c r="F223" i="1"/>
  <c r="G223" i="1"/>
  <c r="G222" i="1"/>
  <c r="G221" i="1"/>
  <c r="G220" i="1"/>
  <c r="G219" i="1"/>
  <c r="E219" i="1"/>
  <c r="G217" i="1"/>
  <c r="E191" i="1"/>
  <c r="E190" i="1"/>
  <c r="E189" i="1"/>
  <c r="F188" i="1"/>
  <c r="G188" i="1"/>
  <c r="F187" i="1"/>
  <c r="G187" i="1"/>
  <c r="F186" i="1"/>
  <c r="G185" i="1"/>
  <c r="G184" i="1"/>
  <c r="G182" i="1"/>
  <c r="H16" i="1"/>
  <c r="I16" i="1" s="1"/>
  <c r="H15" i="1"/>
  <c r="I15" i="1" s="1"/>
  <c r="G180" i="1"/>
  <c r="E180" i="1"/>
  <c r="G178" i="1"/>
  <c r="H14" i="1"/>
  <c r="I14" i="1" s="1"/>
  <c r="G177" i="1"/>
  <c r="G176" i="1"/>
  <c r="G175" i="1"/>
  <c r="G174" i="1"/>
  <c r="G173" i="1"/>
  <c r="F172" i="1"/>
  <c r="G171" i="1"/>
  <c r="F170" i="1"/>
  <c r="G170" i="1"/>
  <c r="F169" i="1"/>
  <c r="E168" i="1"/>
  <c r="G154" i="1"/>
  <c r="G163" i="1"/>
  <c r="E163" i="1"/>
  <c r="G162" i="1"/>
  <c r="E162" i="1"/>
  <c r="G161" i="1"/>
  <c r="E161" i="1"/>
  <c r="F160" i="1"/>
  <c r="G160" i="1"/>
  <c r="E159" i="1"/>
  <c r="G159" i="1"/>
  <c r="G158" i="1"/>
  <c r="G157" i="1"/>
  <c r="E157" i="1"/>
  <c r="G156" i="1"/>
  <c r="E156" i="1"/>
  <c r="G155" i="1"/>
  <c r="E155" i="1"/>
  <c r="E153" i="1"/>
  <c r="G153" i="1"/>
  <c r="E152" i="1"/>
  <c r="G152" i="1"/>
  <c r="G150" i="1"/>
  <c r="E150" i="1"/>
  <c r="G148" i="1"/>
  <c r="G147" i="1"/>
  <c r="E147" i="1"/>
  <c r="F146" i="1"/>
  <c r="G146" i="1"/>
  <c r="G145" i="1"/>
  <c r="G144" i="1"/>
  <c r="E144" i="1"/>
  <c r="H117" i="1"/>
  <c r="I117" i="1" s="1"/>
  <c r="H91" i="1"/>
  <c r="I9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49" i="1" l="1"/>
  <c r="I49" i="1" s="1"/>
  <c r="H48" i="1"/>
  <c r="I48" i="1" s="1"/>
  <c r="H47" i="1"/>
  <c r="I47" i="1" s="1"/>
  <c r="H46" i="1"/>
  <c r="I46" i="1" s="1"/>
  <c r="H43" i="1"/>
  <c r="I43" i="1" s="1"/>
  <c r="H44" i="1"/>
  <c r="I44" i="1" s="1"/>
  <c r="H45" i="1"/>
  <c r="I45" i="1" s="1"/>
  <c r="H42" i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3" i="1"/>
  <c r="G1415" i="1" l="1"/>
  <c r="F1415" i="1"/>
  <c r="E1415" i="1"/>
  <c r="I1183" i="1"/>
  <c r="I1170" i="1"/>
  <c r="I1164" i="1"/>
  <c r="I1163" i="1"/>
  <c r="I1153" i="1"/>
  <c r="I1141" i="1"/>
  <c r="I1138" i="1"/>
  <c r="I1130" i="1"/>
  <c r="E1124" i="1"/>
  <c r="I1115" i="1"/>
  <c r="I1108" i="1"/>
  <c r="I1101" i="1"/>
  <c r="E1088" i="1"/>
  <c r="I1068" i="1"/>
  <c r="I1065" i="1"/>
  <c r="I1051" i="1"/>
  <c r="E1034" i="1"/>
  <c r="I1032" i="1"/>
  <c r="I1031" i="1"/>
  <c r="I1008" i="1"/>
  <c r="I993" i="1"/>
  <c r="F1196" i="1"/>
  <c r="G1196" i="1"/>
  <c r="I986" i="1"/>
  <c r="I946" i="1"/>
  <c r="I944" i="1"/>
  <c r="I939" i="1"/>
  <c r="I937" i="1"/>
  <c r="I909" i="1"/>
  <c r="I907" i="1"/>
  <c r="I900" i="1"/>
  <c r="I895" i="1"/>
  <c r="I893" i="1"/>
  <c r="I891" i="1"/>
  <c r="I890" i="1"/>
  <c r="I889" i="1"/>
  <c r="H1034" i="1" l="1"/>
  <c r="I1034" i="1" s="1"/>
  <c r="H1088" i="1"/>
  <c r="I1088" i="1" s="1"/>
  <c r="H1124" i="1"/>
  <c r="I1124" i="1" s="1"/>
  <c r="H1364" i="1"/>
  <c r="E1196" i="1"/>
  <c r="H1196" i="1" s="1"/>
  <c r="E615" i="1" l="1"/>
  <c r="F615" i="1"/>
  <c r="H163" i="1"/>
  <c r="I163" i="1" s="1"/>
  <c r="H162" i="1"/>
  <c r="I162" i="1" s="1"/>
  <c r="H161" i="1"/>
  <c r="I161" i="1" s="1"/>
  <c r="H159" i="1"/>
  <c r="I159" i="1" s="1"/>
  <c r="E158" i="1"/>
  <c r="H157" i="1"/>
  <c r="I157" i="1" s="1"/>
  <c r="H156" i="1"/>
  <c r="I156" i="1" s="1"/>
  <c r="H155" i="1"/>
  <c r="I155" i="1" s="1"/>
  <c r="E154" i="1"/>
  <c r="H150" i="1"/>
  <c r="I150" i="1" s="1"/>
  <c r="G149" i="1"/>
  <c r="H149" i="1" s="1"/>
  <c r="I149" i="1" s="1"/>
  <c r="E148" i="1"/>
  <c r="H147" i="1"/>
  <c r="I147" i="1" s="1"/>
  <c r="E146" i="1"/>
  <c r="F145" i="1"/>
  <c r="H145" i="1" s="1"/>
  <c r="I145" i="1" s="1"/>
  <c r="H158" i="1" l="1"/>
  <c r="H148" i="1"/>
  <c r="I148" i="1" s="1"/>
  <c r="H153" i="1"/>
  <c r="I153" i="1" s="1"/>
  <c r="H615" i="1"/>
  <c r="H144" i="1"/>
  <c r="I144" i="1" s="1"/>
  <c r="H146" i="1"/>
  <c r="I146" i="1" s="1"/>
  <c r="H152" i="1"/>
  <c r="I152" i="1" s="1"/>
  <c r="H154" i="1"/>
  <c r="I615" i="1"/>
  <c r="I158" i="1" l="1"/>
  <c r="I154" i="1"/>
  <c r="I1195" i="1"/>
  <c r="I1193" i="1"/>
  <c r="I1191" i="1"/>
  <c r="I1185" i="1"/>
  <c r="I1182" i="1"/>
  <c r="I1181" i="1"/>
  <c r="I1180" i="1"/>
  <c r="I1179" i="1"/>
  <c r="I1178" i="1"/>
  <c r="I1176" i="1"/>
  <c r="I1175" i="1"/>
  <c r="I1173" i="1"/>
  <c r="I1171" i="1"/>
  <c r="I1169" i="1"/>
  <c r="I1167" i="1"/>
  <c r="I1166" i="1"/>
  <c r="I1162" i="1"/>
  <c r="I1161" i="1"/>
  <c r="I1160" i="1"/>
  <c r="I1159" i="1"/>
  <c r="I1158" i="1"/>
  <c r="I1157" i="1"/>
  <c r="I1156" i="1"/>
  <c r="I1155" i="1"/>
  <c r="I1154" i="1"/>
  <c r="I1152" i="1"/>
  <c r="I1151" i="1"/>
  <c r="I1149" i="1"/>
  <c r="I1148" i="1"/>
  <c r="I1146" i="1"/>
  <c r="I1145" i="1"/>
  <c r="I1142" i="1"/>
  <c r="I1140" i="1"/>
  <c r="I1136" i="1"/>
  <c r="I1134" i="1"/>
  <c r="I1133" i="1"/>
  <c r="I1131" i="1"/>
  <c r="I1129" i="1"/>
  <c r="I1128" i="1"/>
  <c r="I1126" i="1"/>
  <c r="I1125" i="1"/>
  <c r="I1123" i="1"/>
  <c r="I1122" i="1"/>
  <c r="I1119" i="1"/>
  <c r="I1118" i="1"/>
  <c r="I1117" i="1"/>
  <c r="I1116" i="1"/>
  <c r="I1114" i="1"/>
  <c r="I1113" i="1"/>
  <c r="I1112" i="1"/>
  <c r="I1111" i="1"/>
  <c r="I1110" i="1"/>
  <c r="I1109" i="1"/>
  <c r="I1107" i="1"/>
  <c r="I1106" i="1"/>
  <c r="I1105" i="1"/>
  <c r="I1103" i="1"/>
  <c r="I1102" i="1"/>
  <c r="I1098" i="1"/>
  <c r="I1097" i="1"/>
  <c r="I1096" i="1"/>
  <c r="I1095" i="1"/>
  <c r="I1093" i="1"/>
  <c r="I1092" i="1"/>
  <c r="I1090" i="1"/>
  <c r="I1089" i="1"/>
  <c r="I1084" i="1"/>
  <c r="I1083" i="1"/>
  <c r="I1082" i="1"/>
  <c r="I1081" i="1"/>
  <c r="I1080" i="1"/>
  <c r="I1079" i="1"/>
  <c r="I1078" i="1"/>
  <c r="I1077" i="1"/>
  <c r="I1075" i="1"/>
  <c r="I1074" i="1"/>
  <c r="I1073" i="1"/>
  <c r="I1072" i="1"/>
  <c r="I1071" i="1"/>
  <c r="I1070" i="1"/>
  <c r="I1067" i="1"/>
  <c r="I1066" i="1"/>
  <c r="I1064" i="1"/>
  <c r="I1061" i="1"/>
  <c r="I1060" i="1"/>
  <c r="I1058" i="1"/>
  <c r="I1056" i="1"/>
  <c r="I1055" i="1"/>
  <c r="I1052" i="1"/>
  <c r="I1049" i="1"/>
  <c r="I1048" i="1"/>
  <c r="I1046" i="1"/>
  <c r="I1045" i="1"/>
  <c r="I1044" i="1"/>
  <c r="I1039" i="1"/>
  <c r="I1038" i="1"/>
  <c r="I1037" i="1"/>
  <c r="I1033" i="1"/>
  <c r="I1030" i="1"/>
  <c r="I1029" i="1"/>
  <c r="I1027" i="1"/>
  <c r="I1026" i="1"/>
  <c r="I1024" i="1"/>
  <c r="I1023" i="1"/>
  <c r="I1018" i="1"/>
  <c r="I1015" i="1"/>
  <c r="I1013" i="1"/>
  <c r="I1012" i="1"/>
  <c r="I1011" i="1"/>
  <c r="I1010" i="1"/>
  <c r="I1009" i="1"/>
  <c r="I1007" i="1"/>
  <c r="I1005" i="1"/>
  <c r="I1004" i="1"/>
  <c r="I1003" i="1"/>
  <c r="I1000" i="1"/>
  <c r="I998" i="1"/>
  <c r="I996" i="1"/>
  <c r="I995" i="1"/>
  <c r="I994" i="1"/>
  <c r="I991" i="1"/>
  <c r="I990" i="1"/>
  <c r="I989" i="1"/>
  <c r="I988" i="1"/>
  <c r="I985" i="1"/>
  <c r="I983" i="1"/>
  <c r="I982" i="1"/>
  <c r="I981" i="1"/>
  <c r="I980" i="1"/>
  <c r="I979" i="1"/>
  <c r="I978" i="1"/>
  <c r="I977" i="1"/>
  <c r="I975" i="1"/>
  <c r="I971" i="1"/>
  <c r="I970" i="1"/>
  <c r="I969" i="1"/>
  <c r="I968" i="1"/>
  <c r="I967" i="1"/>
  <c r="I966" i="1"/>
  <c r="I965" i="1"/>
  <c r="I963" i="1"/>
  <c r="I960" i="1"/>
  <c r="I959" i="1"/>
  <c r="I958" i="1"/>
  <c r="I957" i="1"/>
  <c r="I955" i="1"/>
  <c r="I950" i="1"/>
  <c r="I949" i="1"/>
  <c r="I948" i="1"/>
  <c r="I945" i="1"/>
  <c r="I943" i="1"/>
  <c r="I942" i="1"/>
  <c r="I941" i="1"/>
  <c r="I940" i="1"/>
  <c r="I938" i="1"/>
  <c r="I936" i="1"/>
  <c r="I935" i="1"/>
  <c r="I934" i="1"/>
  <c r="I933" i="1"/>
  <c r="I932" i="1"/>
  <c r="I931" i="1"/>
  <c r="I928" i="1"/>
  <c r="I920" i="1"/>
  <c r="I916" i="1"/>
  <c r="I915" i="1"/>
  <c r="I914" i="1"/>
  <c r="I913" i="1"/>
  <c r="I912" i="1"/>
  <c r="I911" i="1"/>
  <c r="I910" i="1"/>
  <c r="I908" i="1"/>
  <c r="I906" i="1"/>
  <c r="I905" i="1"/>
  <c r="I903" i="1"/>
  <c r="I902" i="1"/>
  <c r="I901" i="1"/>
  <c r="I899" i="1"/>
  <c r="I898" i="1"/>
  <c r="I897" i="1"/>
  <c r="I896" i="1"/>
  <c r="I892" i="1"/>
  <c r="I888" i="1"/>
  <c r="I887" i="1"/>
  <c r="I886" i="1"/>
  <c r="I885" i="1"/>
  <c r="I884" i="1"/>
  <c r="I883" i="1"/>
  <c r="I882" i="1"/>
  <c r="I880" i="1"/>
  <c r="I873" i="1"/>
  <c r="I872" i="1"/>
  <c r="I871" i="1"/>
  <c r="I870" i="1"/>
  <c r="I866" i="1"/>
  <c r="I865" i="1"/>
  <c r="I864" i="1"/>
  <c r="I862" i="1"/>
  <c r="I861" i="1"/>
  <c r="I860" i="1"/>
  <c r="I859" i="1"/>
  <c r="I858" i="1"/>
  <c r="I857" i="1"/>
  <c r="I856" i="1"/>
  <c r="I855" i="1"/>
  <c r="I854" i="1"/>
  <c r="I853" i="1"/>
  <c r="I850" i="1"/>
  <c r="I849" i="1"/>
  <c r="I848" i="1"/>
  <c r="I844" i="1"/>
  <c r="I843" i="1"/>
  <c r="I842" i="1"/>
  <c r="I841" i="1"/>
  <c r="I839" i="1"/>
  <c r="I837" i="1"/>
  <c r="I836" i="1"/>
  <c r="I835" i="1"/>
  <c r="I834" i="1"/>
  <c r="I833" i="1"/>
  <c r="I832" i="1"/>
  <c r="I831" i="1"/>
  <c r="I830" i="1"/>
  <c r="I828" i="1"/>
  <c r="I825" i="1"/>
  <c r="E1220" i="1"/>
  <c r="F1220" i="1"/>
  <c r="G1220" i="1"/>
  <c r="I894" i="1" l="1"/>
  <c r="I1220" i="1"/>
  <c r="H1220" i="1"/>
  <c r="I1360" i="1"/>
  <c r="G1360" i="1"/>
  <c r="E1360" i="1"/>
  <c r="H1360" i="1" l="1"/>
  <c r="I1196" i="1"/>
  <c r="F1360" i="1"/>
  <c r="I1405" i="1" l="1"/>
  <c r="H1405" i="1"/>
  <c r="G1405" i="1"/>
  <c r="F1405" i="1"/>
  <c r="E1405" i="1"/>
  <c r="G1364" i="1"/>
  <c r="F1364" i="1"/>
  <c r="E1364" i="1"/>
  <c r="I1364" i="1" l="1"/>
  <c r="H756" i="1" l="1"/>
  <c r="G756" i="1"/>
  <c r="F756" i="1"/>
  <c r="E756" i="1"/>
  <c r="I756" i="1" l="1"/>
  <c r="G657" i="1" l="1"/>
  <c r="F657" i="1"/>
  <c r="E657" i="1"/>
  <c r="H657" i="1" l="1"/>
  <c r="I657" i="1" l="1"/>
  <c r="G615" i="1"/>
  <c r="G602" i="1"/>
  <c r="F602" i="1"/>
  <c r="E602" i="1"/>
  <c r="G555" i="1"/>
  <c r="F555" i="1"/>
  <c r="E555" i="1"/>
  <c r="H602" i="1" l="1"/>
  <c r="I602" i="1" s="1"/>
  <c r="I555" i="1"/>
  <c r="H233" i="1" l="1"/>
  <c r="I233" i="1" s="1"/>
  <c r="F19" i="1" l="1"/>
  <c r="F229" i="1" l="1"/>
  <c r="G218" i="1"/>
  <c r="F215" i="1"/>
  <c r="F180" i="1"/>
  <c r="F33" i="1"/>
  <c r="F21" i="1"/>
  <c r="F20" i="1"/>
  <c r="G204" i="1" l="1"/>
  <c r="F204" i="1"/>
  <c r="G200" i="1"/>
  <c r="H244" i="1"/>
  <c r="I244" i="1" s="1"/>
  <c r="H222" i="1"/>
  <c r="I222" i="1" s="1"/>
  <c r="H260" i="1"/>
  <c r="I260" i="1" s="1"/>
  <c r="H204" i="1" l="1"/>
  <c r="I204" i="1" s="1"/>
  <c r="G255" i="1" l="1"/>
  <c r="F255" i="1"/>
  <c r="G257" i="1"/>
  <c r="H254" i="1"/>
  <c r="I254" i="1" s="1"/>
  <c r="H253" i="1"/>
  <c r="I253" i="1" s="1"/>
  <c r="H252" i="1"/>
  <c r="I252" i="1" s="1"/>
  <c r="H251" i="1"/>
  <c r="I251" i="1" s="1"/>
  <c r="H250" i="1"/>
  <c r="I250" i="1" s="1"/>
  <c r="H248" i="1"/>
  <c r="I248" i="1" s="1"/>
  <c r="H246" i="1"/>
  <c r="I246" i="1" s="1"/>
  <c r="H242" i="1"/>
  <c r="I242" i="1" s="1"/>
  <c r="H239" i="1"/>
  <c r="I239" i="1" s="1"/>
  <c r="H238" i="1"/>
  <c r="I238" i="1" s="1"/>
  <c r="H151" i="1"/>
  <c r="G235" i="1"/>
  <c r="H232" i="1"/>
  <c r="I232" i="1" s="1"/>
  <c r="H230" i="1"/>
  <c r="I230" i="1" s="1"/>
  <c r="E229" i="1"/>
  <c r="H226" i="1"/>
  <c r="I226" i="1" s="1"/>
  <c r="H224" i="1"/>
  <c r="I224" i="1" s="1"/>
  <c r="E223" i="1"/>
  <c r="H221" i="1"/>
  <c r="I221" i="1" s="1"/>
  <c r="H218" i="1"/>
  <c r="I218" i="1" s="1"/>
  <c r="G214" i="1"/>
  <c r="G213" i="1"/>
  <c r="G212" i="1"/>
  <c r="G211" i="1"/>
  <c r="G210" i="1"/>
  <c r="F210" i="1"/>
  <c r="G209" i="1"/>
  <c r="G207" i="1"/>
  <c r="G206" i="1"/>
  <c r="G205" i="1"/>
  <c r="G203" i="1"/>
  <c r="G202" i="1"/>
  <c r="H202" i="1" s="1"/>
  <c r="G259" i="1"/>
  <c r="G201" i="1"/>
  <c r="G199" i="1"/>
  <c r="G198" i="1"/>
  <c r="G197" i="1"/>
  <c r="G196" i="1"/>
  <c r="G195" i="1"/>
  <c r="G194" i="1"/>
  <c r="G193" i="1"/>
  <c r="H192" i="1"/>
  <c r="I192" i="1" s="1"/>
  <c r="H191" i="1"/>
  <c r="I191" i="1" s="1"/>
  <c r="H190" i="1"/>
  <c r="I190" i="1" s="1"/>
  <c r="H189" i="1"/>
  <c r="I189" i="1" s="1"/>
  <c r="I151" i="1" l="1"/>
  <c r="H255" i="1"/>
  <c r="I255" i="1" s="1"/>
  <c r="H243" i="1"/>
  <c r="I243" i="1" s="1"/>
  <c r="H210" i="1"/>
  <c r="I210" i="1" s="1"/>
  <c r="H180" i="1" l="1"/>
  <c r="I180" i="1" s="1"/>
  <c r="G169" i="1"/>
  <c r="G168" i="1"/>
  <c r="H168" i="1" s="1"/>
  <c r="I168" i="1" s="1"/>
  <c r="H141" i="1" l="1"/>
  <c r="I141" i="1" s="1"/>
  <c r="H140" i="1"/>
  <c r="I140" i="1" s="1"/>
  <c r="H32" i="1"/>
  <c r="I32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G19" i="1"/>
  <c r="H12" i="1"/>
  <c r="I12" i="1" s="1"/>
  <c r="F11" i="1"/>
  <c r="H10" i="1"/>
  <c r="I10" i="1" l="1"/>
  <c r="F142" i="1"/>
  <c r="H13" i="1" l="1"/>
  <c r="I13" i="1" s="1"/>
  <c r="H207" i="1" l="1"/>
  <c r="I207" i="1" s="1"/>
  <c r="F301" i="1" l="1"/>
  <c r="E188" i="1" l="1"/>
  <c r="E235" i="1"/>
  <c r="E227" i="1"/>
  <c r="E220" i="1"/>
  <c r="E217" i="1"/>
  <c r="E187" i="1"/>
  <c r="E185" i="1"/>
  <c r="E182" i="1"/>
  <c r="H160" i="1"/>
  <c r="H164" i="1" s="1"/>
  <c r="E245" i="1"/>
  <c r="E241" i="1"/>
  <c r="E237" i="1"/>
  <c r="E236" i="1"/>
  <c r="H234" i="1"/>
  <c r="I234" i="1" s="1"/>
  <c r="E228" i="1"/>
  <c r="E225" i="1"/>
  <c r="E186" i="1"/>
  <c r="E184" i="1"/>
  <c r="G181" i="1"/>
  <c r="E181" i="1"/>
  <c r="G179" i="1"/>
  <c r="E179" i="1"/>
  <c r="E178" i="1"/>
  <c r="E177" i="1"/>
  <c r="E176" i="1"/>
  <c r="E175" i="1"/>
  <c r="E174" i="1"/>
  <c r="E173" i="1"/>
  <c r="E172" i="1"/>
  <c r="E171" i="1"/>
  <c r="E170" i="1"/>
  <c r="E169" i="1"/>
  <c r="I160" i="1" l="1"/>
  <c r="H188" i="1"/>
  <c r="I188" i="1" s="1"/>
  <c r="H229" i="1"/>
  <c r="I229" i="1" s="1"/>
  <c r="H181" i="1"/>
  <c r="I181" i="1" s="1"/>
  <c r="G11" i="1" l="1"/>
  <c r="G186" i="1" l="1"/>
  <c r="F164" i="1" l="1"/>
  <c r="G164" i="1" l="1"/>
  <c r="E200" i="1" l="1"/>
  <c r="H20" i="1"/>
  <c r="I20" i="1" s="1"/>
  <c r="H21" i="1"/>
  <c r="I21" i="1" s="1"/>
  <c r="H31" i="1"/>
  <c r="I31" i="1" s="1"/>
  <c r="H19" i="1"/>
  <c r="I19" i="1" s="1"/>
  <c r="H257" i="1"/>
  <c r="I257" i="1" s="1"/>
  <c r="H208" i="1" l="1"/>
  <c r="I208" i="1" s="1"/>
  <c r="H213" i="1"/>
  <c r="I213" i="1" s="1"/>
  <c r="H212" i="1"/>
  <c r="I212" i="1" s="1"/>
  <c r="H211" i="1"/>
  <c r="I211" i="1" s="1"/>
  <c r="H205" i="1"/>
  <c r="I205" i="1" s="1"/>
  <c r="H203" i="1"/>
  <c r="I203" i="1" s="1"/>
  <c r="I202" i="1"/>
  <c r="H259" i="1"/>
  <c r="I259" i="1" s="1"/>
  <c r="H201" i="1"/>
  <c r="I201" i="1" s="1"/>
  <c r="H198" i="1"/>
  <c r="I198" i="1" s="1"/>
  <c r="H196" i="1"/>
  <c r="I196" i="1" s="1"/>
  <c r="H193" i="1"/>
  <c r="I193" i="1" s="1"/>
  <c r="H258" i="1"/>
  <c r="I258" i="1" s="1"/>
  <c r="H256" i="1"/>
  <c r="I256" i="1" s="1"/>
  <c r="H237" i="1"/>
  <c r="I237" i="1" s="1"/>
  <c r="H227" i="1"/>
  <c r="I227" i="1" s="1"/>
  <c r="H220" i="1"/>
  <c r="I220" i="1" s="1"/>
  <c r="H217" i="1"/>
  <c r="I217" i="1" s="1"/>
  <c r="H206" i="1"/>
  <c r="I206" i="1" s="1"/>
  <c r="H214" i="1"/>
  <c r="I214" i="1" s="1"/>
  <c r="H187" i="1"/>
  <c r="I187" i="1" s="1"/>
  <c r="H185" i="1"/>
  <c r="I185" i="1" s="1"/>
  <c r="H182" i="1"/>
  <c r="I182" i="1" s="1"/>
  <c r="H183" i="1"/>
  <c r="I183" i="1" s="1"/>
  <c r="H173" i="1"/>
  <c r="I173" i="1" s="1"/>
  <c r="H177" i="1"/>
  <c r="I177" i="1" s="1"/>
  <c r="H176" i="1"/>
  <c r="I176" i="1" s="1"/>
  <c r="H175" i="1"/>
  <c r="I175" i="1" s="1"/>
  <c r="H172" i="1"/>
  <c r="H171" i="1"/>
  <c r="I171" i="1" s="1"/>
  <c r="H170" i="1"/>
  <c r="I170" i="1" s="1"/>
  <c r="H174" i="1"/>
  <c r="I174" i="1" s="1"/>
  <c r="H184" i="1"/>
  <c r="I184" i="1" s="1"/>
  <c r="H247" i="1"/>
  <c r="I247" i="1" s="1"/>
  <c r="H241" i="1"/>
  <c r="I241" i="1" s="1"/>
  <c r="H240" i="1"/>
  <c r="I240" i="1" s="1"/>
  <c r="H245" i="1"/>
  <c r="I245" i="1" s="1"/>
  <c r="H249" i="1"/>
  <c r="I249" i="1" s="1"/>
  <c r="H231" i="1"/>
  <c r="I231" i="1" s="1"/>
  <c r="H228" i="1"/>
  <c r="I228" i="1" s="1"/>
  <c r="H223" i="1"/>
  <c r="I223" i="1" s="1"/>
  <c r="H219" i="1"/>
  <c r="I219" i="1" s="1"/>
  <c r="H216" i="1"/>
  <c r="I216" i="1" s="1"/>
  <c r="H215" i="1"/>
  <c r="I215" i="1" s="1"/>
  <c r="H167" i="1"/>
  <c r="I167" i="1" s="1"/>
  <c r="H166" i="1"/>
  <c r="H18" i="1"/>
  <c r="I18" i="1" s="1"/>
  <c r="I172" i="1" l="1"/>
  <c r="I166" i="1"/>
  <c r="H199" i="1" l="1"/>
  <c r="I199" i="1" s="1"/>
  <c r="H235" i="1"/>
  <c r="I235" i="1" s="1"/>
  <c r="H186" i="1"/>
  <c r="I186" i="1" s="1"/>
  <c r="H209" i="1"/>
  <c r="I209" i="1" s="1"/>
  <c r="H197" i="1"/>
  <c r="I197" i="1" s="1"/>
  <c r="H195" i="1"/>
  <c r="I195" i="1" s="1"/>
  <c r="H194" i="1"/>
  <c r="I194" i="1" s="1"/>
  <c r="H200" i="1"/>
  <c r="I200" i="1" s="1"/>
  <c r="H169" i="1"/>
  <c r="I169" i="1" l="1"/>
  <c r="H236" i="1"/>
  <c r="I236" i="1" s="1"/>
  <c r="H225" i="1"/>
  <c r="I225" i="1" s="1"/>
  <c r="F261" i="1"/>
  <c r="H178" i="1"/>
  <c r="I178" i="1" s="1"/>
  <c r="G142" i="1"/>
  <c r="H179" i="1" l="1"/>
  <c r="H261" i="1" s="1"/>
  <c r="H33" i="1"/>
  <c r="I33" i="1" s="1"/>
  <c r="I261" i="1" l="1"/>
  <c r="I179" i="1"/>
  <c r="H301" i="1" l="1"/>
  <c r="E301" i="1"/>
  <c r="E142" i="1"/>
  <c r="H11" i="1" l="1"/>
  <c r="H142" i="1" s="1"/>
  <c r="I11" i="1" l="1"/>
  <c r="I142" i="1" s="1"/>
  <c r="G301" i="1" l="1"/>
  <c r="E164" i="1"/>
  <c r="G261" i="1"/>
  <c r="E261" i="1" l="1"/>
  <c r="I164" i="1" l="1"/>
  <c r="I301" i="1"/>
  <c r="I1433" i="1" l="1"/>
</calcChain>
</file>

<file path=xl/comments1.xml><?xml version="1.0" encoding="utf-8"?>
<comments xmlns="http://schemas.openxmlformats.org/spreadsheetml/2006/main">
  <authors>
    <author/>
    <author>Печенюк Наталья Викторовна</author>
    <author>romancova</author>
    <author>СонинаЕИ</author>
    <author>ЗамГлавБухгалтер</author>
  </authors>
  <commentList>
    <comment ref="C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строительство не ведется!</t>
        </r>
      </text>
    </comment>
    <comment ref="G1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romancova:
</t>
        </r>
        <r>
          <rPr>
            <sz val="9"/>
            <color indexed="8"/>
            <rFont val="Tahoma"/>
            <family val="2"/>
            <charset val="204"/>
          </rPr>
          <t>аренда земли</t>
        </r>
      </text>
    </comment>
    <comment ref="F280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80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Часть перенесла в ПИР</t>
        </r>
      </text>
    </comment>
    <comment ref="G284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F293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93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Часть перенесла в ПИР</t>
        </r>
      </text>
    </comment>
    <comment ref="F294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G294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F296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F298" authorId="1">
      <text>
        <r>
          <rPr>
            <b/>
            <sz val="9"/>
            <color indexed="81"/>
            <rFont val="Tahoma"/>
            <family val="2"/>
            <charset val="204"/>
          </rPr>
          <t>Печенюк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Перенесла в ПИР</t>
        </r>
      </text>
    </comment>
    <comment ref="F599" authorId="2">
      <text>
        <r>
          <rPr>
            <b/>
            <sz val="9"/>
            <color indexed="81"/>
            <rFont val="Tahoma"/>
            <family val="2"/>
            <charset val="204"/>
          </rPr>
          <t>romancova:</t>
        </r>
        <r>
          <rPr>
            <sz val="9"/>
            <color indexed="81"/>
            <rFont val="Tahoma"/>
            <family val="2"/>
            <charset val="204"/>
          </rPr>
          <t xml:space="preserve">
ул.Сиреневая 17
</t>
        </r>
      </text>
    </comment>
    <comment ref="F600" authorId="2">
      <text>
        <r>
          <rPr>
            <b/>
            <sz val="9"/>
            <color indexed="81"/>
            <rFont val="Tahoma"/>
            <family val="2"/>
            <charset val="204"/>
          </rPr>
          <t>romancova:</t>
        </r>
        <r>
          <rPr>
            <sz val="9"/>
            <color indexed="81"/>
            <rFont val="Tahoma"/>
            <family val="2"/>
            <charset val="204"/>
          </rPr>
          <t xml:space="preserve">
ул.Герцена 10 -12635руб
ул.Фурманова 23- 15986р
ул.Фурманова 15- 12297р</t>
        </r>
      </text>
    </comment>
    <comment ref="E601" authorId="2">
      <text>
        <r>
          <rPr>
            <b/>
            <sz val="9"/>
            <color indexed="81"/>
            <rFont val="Tahoma"/>
            <family val="2"/>
            <charset val="204"/>
          </rPr>
          <t>romancova:</t>
        </r>
        <r>
          <rPr>
            <sz val="9"/>
            <color indexed="81"/>
            <rFont val="Tahoma"/>
            <family val="2"/>
            <charset val="204"/>
          </rPr>
          <t xml:space="preserve">
ул Набережная 20</t>
        </r>
      </text>
    </comment>
    <comment ref="I790" authorId="3">
      <text>
        <r>
          <rPr>
            <b/>
            <sz val="9"/>
            <color indexed="81"/>
            <rFont val="Tahoma"/>
            <family val="2"/>
            <charset val="204"/>
          </rPr>
          <t>СонинаЕИ:</t>
        </r>
        <r>
          <rPr>
            <sz val="9"/>
            <color indexed="81"/>
            <rFont val="Tahoma"/>
            <family val="2"/>
            <charset val="204"/>
          </rPr>
          <t xml:space="preserve">
По оборотам видим только 99393,02, эту сумму и разбили по видам работ.</t>
        </r>
      </text>
    </comment>
    <comment ref="A1357" authorId="4">
      <text>
        <r>
          <rPr>
            <b/>
            <sz val="8"/>
            <color indexed="81"/>
            <rFont val="Tahoma"/>
            <family val="2"/>
            <charset val="204"/>
          </rPr>
          <t>ЗамГлавБухгалтер:</t>
        </r>
        <r>
          <rPr>
            <sz val="8"/>
            <color indexed="81"/>
            <rFont val="Tahoma"/>
            <family val="2"/>
            <charset val="204"/>
          </rPr>
          <t xml:space="preserve">
будет модернизация в июле 2018</t>
        </r>
      </text>
    </comment>
  </commentList>
</comments>
</file>

<file path=xl/sharedStrings.xml><?xml version="1.0" encoding="utf-8"?>
<sst xmlns="http://schemas.openxmlformats.org/spreadsheetml/2006/main" count="1447" uniqueCount="1435">
  <si>
    <t>Г-ввод ул.Луговая,1В, п.Койсуг к ГСНД совх."Луч" п.Койсуг,Азовский р-н, аренда</t>
  </si>
  <si>
    <t>Г-ввод ул.Александровская,185,г.Новочеркасск к г-ду ул.Александровская,г.Новочеркасск,аренда</t>
  </si>
  <si>
    <t>Г-ввод ул.Добролюбова,90,г.Новочеркасск от г-да по ул.Добролюбова, Новочеркасск, аренда</t>
  </si>
  <si>
    <t>Г-ввод ул.Октябрьская,78, г.Новочеркасск к г-ду ул.Октябрьская,г.Новочеркасск, аренда</t>
  </si>
  <si>
    <t>ГВД п.Новопривольный-Привольный Ремонтненского р РО</t>
  </si>
  <si>
    <t>МГ х.Табунщиков Красносулинского р РО</t>
  </si>
  <si>
    <t>МГВД от ст.Буденновская к х.Сухой Пролетарского р РО</t>
  </si>
  <si>
    <t>РГ п.Новопривольный Ремонтненского р РО</t>
  </si>
  <si>
    <t>РГ п.Привольный Ремонтненского р РО</t>
  </si>
  <si>
    <t>МГВД от х.Конезавод до х. Юловский, Сальский район</t>
  </si>
  <si>
    <t>РГ с.Подгорное,Ремонтненский район</t>
  </si>
  <si>
    <t>РГ х.Киевка, Ремонтненский р-н</t>
  </si>
  <si>
    <t>% готовности объекта</t>
  </si>
  <si>
    <t>Дата окончания
 строительства</t>
  </si>
  <si>
    <t>Здание админ-быт ПБ ул.5-линия, 14, с.Чалтырь, Мясниковского района (1 этап)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</si>
  <si>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</si>
  <si>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</si>
  <si>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</si>
  <si>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</si>
  <si>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</si>
  <si>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</si>
  <si>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</si>
  <si>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>Амортизация</t>
  </si>
  <si>
    <t>Здание АДС (рек) (Литер А) ул.Кабардино-Балкарская, 76а, сл.Большая Мартыновка, Мартыновский район</t>
  </si>
  <si>
    <t>Здание гаража на 7 боксов (Литер Б),ул.Кабардино-Балкарская,76а, сл.Б.Мартыновка, Мартыновский район</t>
  </si>
  <si>
    <t>АСДУ газовой системы, пр.Кировский, д. 40а, г.Ростов-на-Дону</t>
  </si>
  <si>
    <t xml:space="preserve">СМР
</t>
  </si>
  <si>
    <t xml:space="preserve">Проектные
</t>
  </si>
  <si>
    <t>Филиалы</t>
  </si>
  <si>
    <t>Админ.здание, ул.Гагарина, 27А, г.Аксай</t>
  </si>
  <si>
    <t xml:space="preserve">Коммерческий кредит </t>
  </si>
  <si>
    <t xml:space="preserve">ГВД п.Ремонтное до х.Киевка, Ремонтненский район </t>
  </si>
  <si>
    <t>ГСД (зак) от ГРС-1 до ГРС-2 г.Шахты</t>
  </si>
  <si>
    <t>ГСД (зак) от п.Смагин до п.Наклонная,г.Шахты</t>
  </si>
  <si>
    <t xml:space="preserve">Спецнадбавка </t>
  </si>
  <si>
    <t>Плата за техническое присоединение</t>
  </si>
  <si>
    <t>База отдыха п.Конезавод им.Буденного,Сальского района</t>
  </si>
  <si>
    <t>АУП</t>
  </si>
  <si>
    <t>Г-ввод ул.М.Горького,14А к г-ду ул.Пушк,М.Горького,Октябрьско,Кирова,с.Кагальник,Азовский р-н,аренда</t>
  </si>
  <si>
    <t>Здание автогаража ул.Ворошилова, 217, г. Морозовск, инв. 21-1000</t>
  </si>
  <si>
    <t>Г-вводы для подключ.тепличного комбината "Донской"расп.на терр-и бывш.совх.Кривянский,Октябрьский р-</t>
  </si>
  <si>
    <t>ТП Г-ввод СД к придорожному севрису ст.Егорлыкская, Егорлыкский р-н</t>
  </si>
  <si>
    <t>Г-ввод 20 пер., д.50, г.Таганрог к ГНД 19 пер., г.Таганрог, аренда</t>
  </si>
  <si>
    <t>Г-ввод для подключ. торг.компл.по адресу:г.Семикаракорск,в 62м,по направ.на север от пр.Куликова,2</t>
  </si>
  <si>
    <t>Г-ввод ул.Береговая,49,с.Кулешовка к ГНД по ул.Береговой в с.Кулешовка,Азовский р-н,аренда</t>
  </si>
  <si>
    <t>Г-ввод ул.Ленина,38Г,с.Пешково к ГНД по ул.Октябрьской до жил.дома №32,с.Пешково,Азовский р-н,аренда</t>
  </si>
  <si>
    <t>Г-ввод ул.Советская,56,с.Кагальник к ГСНД по Советской от К.Маркса,с.Кагальник,Азрвский р-н,аренда</t>
  </si>
  <si>
    <t>Г-ввод ул.Береговая,76А(лит.Б),х.Колузаево кРГНД по ул.Ленина от задв.после ГРПШ-1,Азовский р,аренда</t>
  </si>
  <si>
    <t>Г-ввод ул.Береговая,84,х.Колузаево к РГНД по ул.Ленина от задв.после ГРПШ-1, Азовский р-н,аренда</t>
  </si>
  <si>
    <t>Г-ввод ул.К.Маркса,101А,с.Самарское к ГРНД по ул.К.Маркса к мол.заводу,с.Самарское,Азовский р,аренда</t>
  </si>
  <si>
    <t>Г-ввод ул.Ленина,87А,г.Азов к РГНД по ул.Ленина от ул.Чехова до ул.Осипенко,г.Азов,аренда</t>
  </si>
  <si>
    <t>Г-ввод ул.Строителей,25А,п.Тимирязевский к РГНД от врез.до загл.ж.д.19 по ул.Новой,Азовский р,аренда</t>
  </si>
  <si>
    <t>Г-ввод ул.Буденовская,279-б к ГВД 2кат.по ул.Буденовская,279-б,г.Новочеркасск,аренда</t>
  </si>
  <si>
    <t>Г-ввод ул.Ефремова,45,г.Новочерскасск от г-да по ул.Ефремова,г.Новочеркасск,аренда</t>
  </si>
  <si>
    <t>Г-ввод ул.Степная,78,г.Новочеркасск к ГНД по ул.Степная,г.Новочеркасск, аренда</t>
  </si>
  <si>
    <t>Склад по адресу: ул.Дружбы,д.18, г.Азов</t>
  </si>
  <si>
    <t>Г-ввод для подкл.объекта: 300 индив.стр,разм.на зем.уч.в ПК "Успех",х.Новоалександровка,Азовский р-н</t>
  </si>
  <si>
    <t>МГ к х.Новомоисеевский Пролетарского района РО</t>
  </si>
  <si>
    <t>РГ  по ул.Луговая, Цветочная в х Усть-Койсуг, Азовский район</t>
  </si>
  <si>
    <t>РГ п.Супрун, Сальский р-н</t>
  </si>
  <si>
    <t>ГВД для газоснабжения индивидуальной жилой застройки в районе п. Несветай Мясниковского района</t>
  </si>
  <si>
    <t>ГВД от ГРС г. Азова с переподкл.п.Новоалександровка,с.Кулеш,х.Высоч, Азовского р,зак.г/п,протяж.3,0к</t>
  </si>
  <si>
    <t>ГНД  на 14 км главной линии 109,111,113,119 (пер.1-й Локомотивный,6,8,13,15) г. Батайск,инв.3-030317</t>
  </si>
  <si>
    <t>ГСД от ул. Ленина.23 до  ввода в ГРПШ по ул.Ленина,18,ст.Боковская,Боковский район,инв.000014286</t>
  </si>
  <si>
    <t>МГ в х.Киров, Аксайский район</t>
  </si>
  <si>
    <t>МГ от х. Костино-Быстрянский к х. Новопроциков Морозовского района</t>
  </si>
  <si>
    <t>МГВД  х.Ст-Петровский, х.Парамонов, Морозовский район. инв.№ 21-01072</t>
  </si>
  <si>
    <t>МГВД от х. Костино-Быстрянский к х. Русско-Власовский Морозовского района</t>
  </si>
  <si>
    <t>Оборудование ШРП № 55с РДНК У 50/200 по ул.Речная г.Батайск, инв.3-040342</t>
  </si>
  <si>
    <t>ПНГНД от № 37 по ул. Ленина, ст. Боковская, Боковский район,2 этап,инв.08-00790</t>
  </si>
  <si>
    <t>РГ в х.Юловский Сальского района Ростовской области</t>
  </si>
  <si>
    <t xml:space="preserve">РГ по ул. Московская, Грибоедова, Заводская, Тургенева, Пролетарская мкр Колодезное п. Тарасовский </t>
  </si>
  <si>
    <t>РГ с.Федосеевка, Заветинского района (2 этап)</t>
  </si>
  <si>
    <t>РГ х.Маныч Орловского района</t>
  </si>
  <si>
    <t>Рек. ГНД по ул. Калинина в сл. Родионово-Несветайская, инв. № 23-00054</t>
  </si>
  <si>
    <t>Рек.Г- д  ст. Боковская ул. Ленина от ГРП до пер. Чкалова (105),1 этап,инв.08-00780</t>
  </si>
  <si>
    <t>Рек.Газопровод по ул. Металлургов от ул.Коминтерна до ул.Миллицейская г.Красный Сулин, инв.9-13208</t>
  </si>
  <si>
    <t>Рек.Газопровод по ул.Галатова от ул.Свободы до ул.Матросова г. Красный Сулин, инв. № 9-13280</t>
  </si>
  <si>
    <t>Рек.Газопровод по ул.Глинки от пер.Братский до ул.Павлова г. Красный Сулин, инв. № 9-13220</t>
  </si>
  <si>
    <t>Рек.Газопровод по ул.Карбышева от ул.Свободы до ул.Матросова г.Красный Сулин, инв.№ 9-13281</t>
  </si>
  <si>
    <t>Рек.Газопровод по ул.Первомайская от ул.Ворошилова до ул Коминтерна г.Красный Сулин, инв.9-13223</t>
  </si>
  <si>
    <t>Рек.Газопровод по ул.Тельмана от ул.Горького до ул.Щаденко г.Красный Сулин, инв.9-13214</t>
  </si>
  <si>
    <t>Рек.Газопровод по ул.Щаденко от ул.Тельмана до реки Гнилуша г.Красный Сулин, инв. № 9-13276</t>
  </si>
  <si>
    <t>Рек.Газопровода по ул.Матросова от ул.Ростовская до ул.Гагарина г.Красный Сулин, инв. № 9-13278</t>
  </si>
  <si>
    <t>Рек.ГНД по ул. Советская в сл. Родионово-Несветайская, инв. № 23-00026</t>
  </si>
  <si>
    <t>Рек.ГНД по ул.Ворошилова - ул.Садовая в сл.Родионово-Несветайская, инв.23-00059</t>
  </si>
  <si>
    <t>Рек.ГНД по улице Набережная, г. Белая Калитва, инв. № 4-030056</t>
  </si>
  <si>
    <t>Рек.ГНД ул.Большевистская, сл.Родионово-Несветайская, инв. № 000014247</t>
  </si>
  <si>
    <t>Рек.ГНД ул.Космонавтов от ул.Ростовская до ул.Октябрьская г.Красный Сулин,инв.9-13277</t>
  </si>
  <si>
    <t>Рек.ГНД ул.Октябрьская от ул.Свободы до пер.Цимлянский г.Красный Сулин,инв.9-13283</t>
  </si>
  <si>
    <t>Рек.ГРП №7 х.Ленина КСП Родина,инв.№01-00450 (газ.оборуд.), 01-00477(здание), Аксайский район</t>
  </si>
  <si>
    <t>Рек.ГРПШ №45 г.Батайск, ул.Ставропольская,123, инв.№ 3-040335</t>
  </si>
  <si>
    <t>Рек.ГРПШ г. Гуково, ул. Л.Чайкиной, инв.№ 9-001493</t>
  </si>
  <si>
    <t>Рек.ГСД по ул.Новоселовская до АБЗ г.Красный Сулин, инв. № 9-13219</t>
  </si>
  <si>
    <t>Рек.ГСНД по ул.Центральная в х.Волошино Родионово-Несветайского района, инв. № 23-00154</t>
  </si>
  <si>
    <t>Рек.МГВД х.Великанов ст.Чертковская(к колхозу"Атоммашевец"),Морозовский р-н,инв.21-01074</t>
  </si>
  <si>
    <t>Рек.ПГВД по ул.Песчаная,35 х.Дуленков до ГРП по ул.Ленина,37 ст.Боковская,Боковский р-н,инв.00014279</t>
  </si>
  <si>
    <t>Рек.РГ от ШРП № 3, 55 в пос.шахты Антрацит г.Гуково Ростовская область,общая протяженность 8,0 км: П</t>
  </si>
  <si>
    <t>ТП ГРПШ на ГВД (ГРС-ШРП), х.Новотроицкий, Родионово-Несветайский район</t>
  </si>
  <si>
    <t>ТП ШРП ст.Егорлыкская, ул.Ленина-Вишневая от ул.Патоличева до Птицекомбин,Егорлыкский р,инв.15-03012</t>
  </si>
  <si>
    <t>Уст.ГРП № 1 г. Белая Калитва, ул. Калинина,  инв. № 4-010012</t>
  </si>
  <si>
    <t>Уст.ГРП № 18/1 г.Батайск, ул.Булгакова, инв.3-010023</t>
  </si>
  <si>
    <t>Уст.ГРП № 2 г.Белая Калитва, ул.Вокзальная,  инв.4-010014</t>
  </si>
  <si>
    <t>Уст.ГРП № 3 г. Белая Калитва ул.Геологическая, инв. № 4-010013</t>
  </si>
  <si>
    <t>Уст.ГРП № 4 г. Белая Калитва, ул. 1я Линия,  инв. № 4-010021</t>
  </si>
  <si>
    <t>Уст.ГРП № 4 г. Сальск, ул. Халтурина, инв. № 31-04033</t>
  </si>
  <si>
    <t>Уст.ГРП № 5 г. Белая Калитва ул.Заводская, инв. № 4-010015</t>
  </si>
  <si>
    <t>Уст.ГРП № 5 г. Сальск, ул. Верхняя, инв. № 31-04064</t>
  </si>
  <si>
    <t>Уст.ГРП №16 г.Аксай, ул.Шевченко, 32а,инв.№ 01-00442 (газ.оборуд.), 01-00468 (здание), Аксайский р-н</t>
  </si>
  <si>
    <t>Уст.ГРП №17 г. Аксай, ул. Толстого 13а, инв. № 01-00443 (газовое оборудование), 01-00469 (здание)</t>
  </si>
  <si>
    <t>Уст.ГРП №5 г. Батайск, ул. Куйбышева гор. Парк им. Ленина,  инв. № 3-010001</t>
  </si>
  <si>
    <t>Уст.ГРП №6 г.Батайск, ул.Ленина - ул.Матросова, инв.№ 3-040412</t>
  </si>
  <si>
    <t>Уст.ГРПШ № 46 г. Батайск, ул.Севастопольская,50,  инв. № 3-040358</t>
  </si>
  <si>
    <t>Уст.ГРПШ №31 г.Батайск, ул.Ленина - ул. Красноармейская, инв. № 000001687</t>
  </si>
  <si>
    <t>Уст.ГРПШ №43 г. Батайск, ул. Эстонская, 24, инв. № 3-040329</t>
  </si>
  <si>
    <t>Уст.ГРПШ на ГСД сл.Родионово-Несветайская, ул.Гвардейцев-Танкистов(дом №7), инв.№ 23-00078</t>
  </si>
  <si>
    <t>Установка ГРПШ р.п.Усть-Донецкий, ул.Промышленная 15-а, инв.32-31044</t>
  </si>
  <si>
    <t>Г-ввод для подкл.объекта:Жилые дома по северной границе п."Приазовье",с.Новоалександ, Азовского р-на</t>
  </si>
  <si>
    <t>ГПНД ул.Ленина,Шолохова,Северная,Чехова,х.Шаумяновский, Егорлыкский р-н,инв.15-03140</t>
  </si>
  <si>
    <t>Производственное здание д.26, ул. Мира, г. Зерноград литер А,инв 15-10039</t>
  </si>
  <si>
    <t xml:space="preserve">Г-ввод для подкл.объекта кап.строительства по адресу: Г.Донецк,пр-кт Ленина,35Г </t>
  </si>
  <si>
    <t>Г-ввод к объекту:"Ростовский логистич.центр", Аксайский р,КСП им.Ленина, терр-я аэропор.компл"Южный"</t>
  </si>
  <si>
    <t>ГНД  ул.Колхозная, х.Павленков, Родионово-Несветайский район,инв.23-00116 (ТП ГРПШ)</t>
  </si>
  <si>
    <t>Уст.ГРПШ на ГСД сл.Родионово-Несветайская, ул.Гвардейцев-Танкистов(дом №3), инв.№ 23-00079</t>
  </si>
  <si>
    <t>ПГНД Вильямса Новый микрорайон ст.Кировская, Кагальницкий р-н, инв.15-51728</t>
  </si>
  <si>
    <t>Г-ввод к объекту: ООО "Комплекс Модуль Юг" АРНКС,Азов</t>
  </si>
  <si>
    <t>Г-ввод к объекту:Жилая застр. по адресу:в 0.3 км от п.Российский.Большелогмкогос/п,Аксайский район</t>
  </si>
  <si>
    <t>ГСД по пер.Гайдаренко и ул.Петровского в пос.Чертково Ростовской области</t>
  </si>
  <si>
    <t>ПГ х.Октябрьский, Родионово-Несветайский район</t>
  </si>
  <si>
    <t>РГ х.Октябрьский, Родионово-Несветайский район</t>
  </si>
  <si>
    <t>Г-ввод для подкл. объекта:"СКПТ" ООО"БАТИ АЗОВ""</t>
  </si>
  <si>
    <t>Г-ввод для подключеня:"ПЦ ОА "Реконструктор", Аксайский район</t>
  </si>
  <si>
    <t>Г-ввод к для поключения объекта: "Нежилые здания д.43, ул. Западная, г. Аксай</t>
  </si>
  <si>
    <t>Г-ввод к жилому комплексу пер.Парковый,4, г.Таганрог</t>
  </si>
  <si>
    <t>Г-ввод многокв.жилые дома, ул.Адмирала Крюйса,19, г.Таганрог</t>
  </si>
  <si>
    <t>Г-ввод РГВНД с ГРПШ для г-и ж.д.квартала №4 ст "Виноград",ст. Грушевская, Аксайский район</t>
  </si>
  <si>
    <t>Г-ввод сервис, юго-западная ч.уч-ка,Чертковский р-н</t>
  </si>
  <si>
    <t>Г-ввод ул.1-я Луговая,4/2, произ.площадка ООО "Бик", г.Ростов-на-Дону</t>
  </si>
  <si>
    <t>ПГСД ул.Октябрьская,ул.Пришкольная,ул.Садовая,ул.Степная, с.Бараники, Сальский район,инв.31-03220</t>
  </si>
  <si>
    <t>Г-ввод пер.Грушевый,19,ст.Егорлыкская к ГНД ст.Егорлыкская,п.Мичуринский,восточная часть,аренда</t>
  </si>
  <si>
    <t>ГВНД с ГРПШ п.Северный, ст.Егорлыкская, Егорлыкский р, инв 15-70372</t>
  </si>
  <si>
    <t>ГНД ул.2-я линия от ул.Транспортной до ул.Молодежной., п.Целина инв 15-51916</t>
  </si>
  <si>
    <t>ГНД ул.Войкова от ул. Октябрьской до пер.Семашко ст.Егорлыкской, Егорлыкский район. инв 000014123</t>
  </si>
  <si>
    <t>ГПНД ул.Молодежная, Гагарина, Заречная, с. Плодородное, Целинский р-н, инв.15-70244</t>
  </si>
  <si>
    <t>ГПСД от угла стр № 50 ул. Строителей, г. Зерноград,инв.15-50774</t>
  </si>
  <si>
    <t>ГПСД ул.Школьная, ОПХ Манычское, Зерноградский район, инв.15-50448</t>
  </si>
  <si>
    <t>ГСНД ул.Зеленая,Луговая,ст.Егорлыкская,Егорлыкский р-н.инв 00-001750</t>
  </si>
  <si>
    <t>Г-ввод 5-й Линейный проезд,167,г.Таганрог к ГАЗ/П-26НД12940,18Р.ЛЮКСЕМБУРГ, аренда</t>
  </si>
  <si>
    <t>Г-ввод ДНТ Неклиновский Энергетик,249 к ВНГ с.Николаев.,Гаевка,АГРС,Неклиновский р-н,аренда</t>
  </si>
  <si>
    <t>Г-ввод ДНТЭнтузиаст-2,48с.Николаевка ВНГ с.Николаевка.ГаевкаАГРС Троицкое,Неклиновский р,аренда</t>
  </si>
  <si>
    <t>Г-ввод Неклиновский Энергетик,261,с.Николаевка ВНГ с.Никол.с.Гаевка,АГРС Троиц,Неклиновский р,аренда</t>
  </si>
  <si>
    <t>Г-ввод пер.16 Артеллерийский,61, г.Таганрог к ГНД 20057,37 м.Гончарная,г.Таганрог,аренда</t>
  </si>
  <si>
    <t>Г-ввод СНТ Металлург-2,167с.БессергеновкаВНГул.Мирн1 от ШГРП-3 до Социал,с.Бесс,Неклиновс р-н,аренда</t>
  </si>
  <si>
    <t>Г-ввод ул.7-й Переулок,27,г.Таганрог, ГАЗ/П-26НД12940, Р.Люксембург, аренда</t>
  </si>
  <si>
    <t>Г-ввод ул.Адмир.Крюйса,2-15,г.Таганрог к ГАЗСДП272,5м. ул.Адм. Крюйса2-а,аренда</t>
  </si>
  <si>
    <t>Г-ввод ул.Б.Бульварная,13-21,13-22,г.Таганрог к ПГСД-19,2426,7м.ул.Б.Бульварная,г.Таганрог,аренда</t>
  </si>
  <si>
    <t>Г-ввод ул.Дачная,203, г.Таганрог к ГАЗНд 811м Дач.новый. г. Таганрог, аренда</t>
  </si>
  <si>
    <t>Г-ввод ул.И.Голубца,13,г.Таганрог к ГАЗ НД 600м ТРП7АРТ ДЗЕРЖг.Таганрог,аренда</t>
  </si>
  <si>
    <t>Г-ввод ул.Кольцовская,81,г.Таганрог к ГАЗ/П-53 16760,30м Гоголевский,г.Таганрог, аренда</t>
  </si>
  <si>
    <t>Г-ввод ул.Космонавтов,12 к ВНГ ул.Космонав,Гагар,Островск,с.Новобессергеневка,Неклиновский р,аренда</t>
  </si>
  <si>
    <t>Г-ввод ул.Котлостроительная,35,г.Таганрог к ПГСД 146,3 м.ул.Котлостроительная,37,в,г.Таганрог,аренда</t>
  </si>
  <si>
    <t>Г-ввод ул.Крупской,65а,с.Синявское к ВНГ Буденновский Спуск,Ленина,с.Синявс,Неклиновский р,аренда</t>
  </si>
  <si>
    <t>Г-ввод ул.Менделеева,123,г.Таганрог к ГСД 319,66 м 1 микрорайон русское поле, г.Таганрог, аренда</t>
  </si>
  <si>
    <t>Г-ввод ул.Металлургич,112/74,г.Таганрог, к ГАЗ/П-11 НД21198М,А.ГЛУШКО, аренда</t>
  </si>
  <si>
    <t>Г-ввод ул.Москатова,6 г.Таганрог к ПГСД 10153,8м. Жуковского, Энгельса,аренда</t>
  </si>
  <si>
    <t>Г-ввод ул.Нестерова,5/Ореховая,1а,г.Таганрог к ГВД 494м, ул.Ореховая,20,ул.Нестер,г.Таганрог,аренда</t>
  </si>
  <si>
    <t>Г-ввод ул.Новостройки,15а к ВМГ ул.Энгельса,Новостр,Стах,с.Петрушино,Неклиновский р-н,аренда</t>
  </si>
  <si>
    <t>Г-ввод ул.Октябрьская,1в,х.Красный десант ПГ ГРС р/к Первомайский,х.Кр.Десан,Неклиновский р,аренда</t>
  </si>
  <si>
    <t>Г-ввод ул.Строителей,1б,с. Троицкое, к ВНГ с. Троиц,сКошкино от АГРС с.Троиц.Неклин, аренда</t>
  </si>
  <si>
    <t>Г-ввод ул.Чехова,241,с.Натальевка к ГРП с.Натальевка.,ул.Чехова 1-183,Неклиновский р-н, аренда</t>
  </si>
  <si>
    <t>Г-ввод ул.Чехова,353-а,г.Таганрог к ГНД-700м,ул.Чехова,г.Таганрог,аренда</t>
  </si>
  <si>
    <t>ГНД у.Нижняя,Верхняя,Восточная,с. Камышевка, Матвеево-Курганский район,инв.000013229</t>
  </si>
  <si>
    <t>ГВНД.ул.Полевая-Гв-Танкистов,х.Новотроицкий, Родионово-Несветайского р-на, инв.23-00080</t>
  </si>
  <si>
    <t>ГСД и ГНД ул.Гв.-Танкистов (ГРПБ),сл.Родионово-Несветайская,Родионов-Несветайского р-на,инв.23-00066</t>
  </si>
  <si>
    <t>ГВД сл.Родионово-Несветайская - с.Кутейниково, Родионово-Несветайский район,инв.23-00082</t>
  </si>
  <si>
    <t>ПАО "Газпром газораспределение Ростов-на-Дону" в г.  Азове</t>
  </si>
  <si>
    <t>Г-ввод ул.Береговая,1Б,х.Курган к РГСД  ст "Энтузиаст"в х.Курган,Азовский р-н,аренда</t>
  </si>
  <si>
    <t>Г-ввод ул.Бережная,33А,с.Новотроицкое к РГНД по ул.Ленина до Кирова,Бережной,Азовский р-н,аренда</t>
  </si>
  <si>
    <t>Г-ввод ул.Дружбы,13,г.Азов к РГСД по ул.Дружбы к котельной РСМ в г.Азове,аренда</t>
  </si>
  <si>
    <t>Г-ввод ул.М.Горького,69,г.Азов к РГНД по ул. М.Горького от ул.Кунникова в г.Азове ,аренда</t>
  </si>
  <si>
    <t>Г-ввод ул.Молодежная,77,с.Новотроицкое к РГНД по ул.Кирова с.Новотроиц,Азовский р-н,аренда</t>
  </si>
  <si>
    <t>Г-ввод ул.Пролетарская,3А.Кулешовка ГСД АКДП ул.Гагарина,с.Кулешовка,Азовский р-,аренда</t>
  </si>
  <si>
    <t>Г-ввод ул.Пушкина,79,г.Азов,к РГНД по ул.Пушкина от ул.Кошевого доввода в котел.ЗТО,г.Азов,аренда</t>
  </si>
  <si>
    <t>Г-ввод ул.Советская,26А,с.Кагальник кРГНД по М.Спуску,Советск,с.Кагальник,Азрвский р-н,аренда</t>
  </si>
  <si>
    <t>ГВНД с ГРПШ с.Петровка и с.Платоно-Петровка, Азовский р-н, инв.000013826</t>
  </si>
  <si>
    <t>ГНД бульвару Роз, п.Петровский,Азов, инв.22-06028</t>
  </si>
  <si>
    <t>ГСД х.Рогожкино, Азовский р-н, инв.22-06038</t>
  </si>
  <si>
    <t>ГСД х.Чумбур-Коса Азовского района. инв 22-04933</t>
  </si>
  <si>
    <t>РГ х.Усть-Койсуг, Азовского района, инв.00-000580</t>
  </si>
  <si>
    <t>РГНД ст.Елизаветинская,х.Коса,Азовского района, инв.000013768</t>
  </si>
  <si>
    <t>Г-ввод ул.Высотная,1,х.Большой Лог к ГСД 3 кат.по ул.Новоселов,х.Б.Лог,Аксайский р-н, аренда</t>
  </si>
  <si>
    <t>Г-ввод ул.Комарова,50а, п.Рассвет к ПГНД ул.Комарова,п.Рассвет, Аксайский р-н,аренда</t>
  </si>
  <si>
    <t>Г-ввод ул.Ленина,39, х.Большой Лог, к ПГНД  по ул.Ленина в х.Большой Лог,Аксайский р,аренда</t>
  </si>
  <si>
    <t>Г-ввод ул.Молодежная,66,п.Российский к ГНД п.Российский,Аксайский район, аренда</t>
  </si>
  <si>
    <t>Г-ввод ул.Молодежная,68,п.Российский к ГНД п.Российский,Аксайский район, аренда</t>
  </si>
  <si>
    <t>Г-ввод ул.Школьная,27,п.Российский к ПГНД ул.Школьная п.Российский,Аксайский район, аренда</t>
  </si>
  <si>
    <t>Г-ввод ул.Южная,10,п.Дорожный к ГНД 4кат.от выхода из ГРП по ул.Южная,п Дорожный,Аксайский р-,аренда</t>
  </si>
  <si>
    <t>ВГ п.Отрадный Багаевского р РО, инв.00-000575</t>
  </si>
  <si>
    <t>ГВНД с ГРПШ п.Реконструктор,Аксайского района,инв.000013435</t>
  </si>
  <si>
    <t>ГНД сев.часть ст.Старочеркасская,Аксайского р-на, инв.01-00876</t>
  </si>
  <si>
    <t>ГНД ул.Железнодорожная, от 130 до 108/106, г. Аксай, инв 01-00206</t>
  </si>
  <si>
    <t>ГСД пр.Ленина, г. Аксай,инв 000016810</t>
  </si>
  <si>
    <t>ГСНД 9-ый пер. ГРПШ (зак) ул.Красноармейской,ст.Ольгинская, Аксайский р-н,(солнеч.бат) инв. 01-00978</t>
  </si>
  <si>
    <t>ПГСД к микрорайону ООО "Казачий Дон" ст.Старочеркасская Аксайского инв.000016267</t>
  </si>
  <si>
    <t>ПГСД ул.Садовой,Вартанова,Речникова,г.Аксай, инв.01-00655</t>
  </si>
  <si>
    <t>ПНГНД от №54 по ул.Станиславского до №4 по ул.Фурманова,г.Аксай, инв.000014357</t>
  </si>
  <si>
    <t>РС ул.Подгорная,Набережная,Восточная,х.Малый Мишкин,Аксайский р-н, инв.01-00937</t>
  </si>
  <si>
    <t>Гараж п.Атаева, г.Белая Калитва</t>
  </si>
  <si>
    <t>Г-ввод пр.Платовский,77а,г.Новочеркасск к РГНД по ул.Михайловская,г.Новочеркасск,аренда</t>
  </si>
  <si>
    <t>Г-ввод ул.Ефремова,59,г.Новочерскасск от г-да по ул.Ефремова,г.Новочеркасск,аренда</t>
  </si>
  <si>
    <t>Г-ввод ул.Октябрьская,152, г.Новочеркасск к г-ду ул.Октябрьская,г.Новочеркасск, аренда</t>
  </si>
  <si>
    <t>ГВНД ул.Булавина, г. Новочеркасск, инв.000014698</t>
  </si>
  <si>
    <t>РГСНД ул.Железнодор.,сп.Герцена,ул.Никольского,пр.Платовский, г.Новочеркасск,инв.00-001101</t>
  </si>
  <si>
    <t>ГНД с ГРПШ в мкр Плодопитомник, Семикаракорск,инв.000013192</t>
  </si>
  <si>
    <t>ПГНД ул.Центральная, х.Пухляковский,Усть-Донецкий район,инв.32-31029</t>
  </si>
  <si>
    <t>ПНГВНД от ГРС в Усть-Донецком р-не х.Апаринский от ул.Промышл,Инженер,Мира ,Новостр,инв.000015507</t>
  </si>
  <si>
    <t>Рек ГРПШ х.Вислый,ул.Трудовая-ул.Спортивная,Семикаракорск инв.000013194</t>
  </si>
  <si>
    <t>ВГ х.Карповка Багаевского р инв. 00-000129</t>
  </si>
  <si>
    <t>Автоматич.сис-ма пож.сигнал.в автом.боксах и производ.помещ., г.Новошахтинск</t>
  </si>
  <si>
    <t>Гараж (рек) (Литер Г1),ул.Мира,26,г.Зерноград,инв.15-10034</t>
  </si>
  <si>
    <t>Парков.зона ул.Калинина,25,г.Белая Калитва,Белокалитвинский р-н</t>
  </si>
  <si>
    <t>Пожарн.сигнл.автом.боксах и произ.ул.Карбышева,60,г.Кр.Сулин,Красносулинский р-н,инв.9-11007</t>
  </si>
  <si>
    <t>Пост пров-ки газоб.оборуд.ул.Гагарина,27,г.Аксай</t>
  </si>
  <si>
    <t>Пост пров-ки газоб.оборуд.ул.Извилистая,3,г.Ростов-на-Дону</t>
  </si>
  <si>
    <t>Пост пров-ки газоб.оборуд.ул.Орджоникидзе,14,с.Песчанокопское,Песчанокопский р-н</t>
  </si>
  <si>
    <t>Пост пров-ки газоб.оборуд.ул.Спартака,167,ст.Багаевская,Багаевский р-н</t>
  </si>
  <si>
    <t>Пост пров-ки газоб.оборуд.ул.Трактовая,53, г.Сальк</t>
  </si>
  <si>
    <t>Пост пров-ки газоб.оборуд.ул.Южная,5,г.Батайск</t>
  </si>
  <si>
    <t>Система видеонаблюдения учебно-методического центра ул.Южная,5,г.Батайск</t>
  </si>
  <si>
    <t>Уст-во огр. расхода газа на ГВД с.Чалтырь,х.Красный Крым,Мясниковский р-н, инв.22-00920</t>
  </si>
  <si>
    <t>Уст-во огр. расхода газа на ГВД с.Чалтырь,ГГРП ул.Луговая,Мясниковский р-н, инв.22-00478</t>
  </si>
  <si>
    <t>МГ х.Золотаревка,х.Павлов,Семикаракорский р-н</t>
  </si>
  <si>
    <t>РГ для газ-и ул.Пионерская,Марата Мечникова,Чернышевского,г.Новошахтинск</t>
  </si>
  <si>
    <t>РГ с.Табунщиково,Красносулинский р-н</t>
  </si>
  <si>
    <t>РГ ул.Южная,К.Цеткин,Пионерская,больница Электровозная,Знамя Поб.Горлова,Войк,г.Новошахтинск</t>
  </si>
  <si>
    <t>РГ х.Виноградный,Усть-Донецкий р-н</t>
  </si>
  <si>
    <t>РГ х.Некрасовка,Неклиновский р-н</t>
  </si>
  <si>
    <t>РГ х.Ольховский,Усть-Донецкий р-н</t>
  </si>
  <si>
    <t>РГ х.Павлов,Семикаракорский р-н</t>
  </si>
  <si>
    <t>РГ х.Сужено,Неклиновский р-н</t>
  </si>
  <si>
    <t>ВГ х.Ракитный,Зерноградский р-н</t>
  </si>
  <si>
    <t>ГВД от ГРС Шахты до сущ.сетей газораспрделения</t>
  </si>
  <si>
    <t>ГНД для газ-и ж.кв.пер.Виноградный,ст.Боковская,Боковский р-н</t>
  </si>
  <si>
    <t>ГНД для газ-и ж. кв. ул.Заречной,пер.Чирский,терновый,Ковыленский,ст.Боковская,Боковский р-н</t>
  </si>
  <si>
    <t>ГНД п.Украинский,Красносулинский р-н</t>
  </si>
  <si>
    <t>ГПСД ул.Ленина,Вишневая,ул.Патоличева до Птицекомбинат,ст.Егорлыкская,Егорлыкский р-н,инв.15-03012</t>
  </si>
  <si>
    <t>ГРП № 8 (уст) ул.Гайдара,г.Батайск,инв.3-040279</t>
  </si>
  <si>
    <t>ГСД пер.Базарный,ул.Петровского,п.Чертково,Чертковский р-н</t>
  </si>
  <si>
    <t>ГСНД ГРПБ для газ-ции жд ул.Луначарского,Чехова,Фрунзе,Шестой,Проезд,г.Донец</t>
  </si>
  <si>
    <t>МГ х.Романов,Моисеев,Дубовский р-н</t>
  </si>
  <si>
    <t>РГ от ШРП № 5 п.ш. Антацит,г.Гуково</t>
  </si>
  <si>
    <t>РГ от ШПР № 50-58, п.ш.Октябрьская,г.Гуково</t>
  </si>
  <si>
    <t>РГ от ШРП № 57 в п.ш.№ 24,г.Гуково</t>
  </si>
  <si>
    <t>РГ ул.Колхозная,пер.Садовый,г.Гуково</t>
  </si>
  <si>
    <t>РГ х.Еритовка,Миллеровский р-н</t>
  </si>
  <si>
    <t>РГ х.Моисеев,Дубовский р-н</t>
  </si>
  <si>
    <t>РГНД ул.Красносулинская,Российская,Возрождение,пер.Мартовский,Урожайный,Радостный,Летний,Весенний,г.Гуково</t>
  </si>
  <si>
    <t>РГНД ул.Лесная,Островского,тургенева,Стахановская,Шахтная от ШРП № 51,г.Гуково</t>
  </si>
  <si>
    <t>РГНД х.Михайловский,Верхнедонской р-н</t>
  </si>
  <si>
    <t>РГ г-да х.Малахов,Миллеровский р-н</t>
  </si>
  <si>
    <t>СГ для газ-ции п.Липовка,Тарасовский р-н</t>
  </si>
  <si>
    <t>Уст.ГРП №3 г. Сальск, ул. Свободы, инв.№ 31-04126</t>
  </si>
  <si>
    <t>ГСНД ГРПБ для газ-ции д ул.Пограничная,г.Донецк</t>
  </si>
  <si>
    <t>РГ ул.Молодежная,пер.Западный,Дорожная,дачная,пер.Южный,г.Гуково</t>
  </si>
  <si>
    <t>Г-ввод к объекту: ДНТ "Ивушка", х. Махин, Аксайский район</t>
  </si>
  <si>
    <t>Г-ввод ул.Дзержинского,93, к РГНД ул.Дзержинского пер.Коллонтаевс,пл.!!! Интерн.г.Азов,аренда</t>
  </si>
  <si>
    <t>Г-ввод ул.Заводская,1Б,х.Обуховка,РГНД х.Обуховка,Азовский р-н, стор.</t>
  </si>
  <si>
    <t>Г-ввод ул.Кошевого,42,г.Азов к РГНД по ул.Кошевого от  ул. Кондаурова.г.Азов,аренда</t>
  </si>
  <si>
    <t>Г-ввод ул.Ленина,108 к РГНД ул.Ленина послн ГРПШ-1.х.Колузаево,Азовский р-н,аренда</t>
  </si>
  <si>
    <t>Г-ввод ул.М.Горького,2б,х.Задонский к РГНД от ГПР ул.Ленина,Нольнойх.Задонский, Азовский р-н,аренда</t>
  </si>
  <si>
    <t>Г-ввод ул.Матросова,пер.Павлова,1/5а,г.Азов к ГНД ул.Павлова,Железнод,Красногор, г.Азов, аренда</t>
  </si>
  <si>
    <t>Г-ввод ул.Степная,24В к РГНД от ШРП до жд п.Солнечный,г.Азов, аренда</t>
  </si>
  <si>
    <t>Г-ввод ул.Степная,44, к РГНД от ШРП до жд в п.Солнечный, г.Азов, аренда</t>
  </si>
  <si>
    <t>Г-ввод ул.Мельничная,94-а,ст.Багаевская,Багаевский р-н, стор.</t>
  </si>
  <si>
    <t>Г-ввод ул.Свободы,15,ст.Багаевская,Багаевский р-н, стор.</t>
  </si>
  <si>
    <t>ГВД ул.Свободы от ГГРП до Автовокзала,ст Багаевская,Багаевский р-он,инв.01-00423</t>
  </si>
  <si>
    <t>ГНД х.Елкин,Багаевского района, инв.000013175</t>
  </si>
  <si>
    <t>Г-ввод ул.9 линия,1347, ДНТ "Алмаз", Аксайский р-н,стор.</t>
  </si>
  <si>
    <t>Г-ввод ул.Васильковая,4-а,х.Большой Лог, Аксайский р-н, стор.</t>
  </si>
  <si>
    <t>Г-ввод ул.Вербная,46,г.Аксай,стор.</t>
  </si>
  <si>
    <t>Г-ввод ул.Восточная,7-А, п.Рассвет, Аксайский р-н, стор.</t>
  </si>
  <si>
    <t>Г-ввод ул.Высотная,3, х.Большой Лог, Аксайский р-н,инв.00-001426</t>
  </si>
  <si>
    <t>Г-ввод ул.Земляничная,2112,2113, снт Содружество,Аксайский р-н,стор.</t>
  </si>
  <si>
    <t>Г-ввод ул.Каскадная,5,п.Реконструктор,Аксайский р-н, стор.</t>
  </si>
  <si>
    <t>Г-ввод ул.Каскадная,7,п.Реконструктор, Аксайский р-н, стор.</t>
  </si>
  <si>
    <t>Г-ввод ул.Лазурная,5, снт Солнечная Поляна,Аксайский р-н ,стор.</t>
  </si>
  <si>
    <t>Г-ввод ул.Мира,19,х.Веселый,Аксайский р-н,стор.</t>
  </si>
  <si>
    <t>Г-ввод ул.Молдавская,27, п.Дорожный, к ПНГСНД ул.Молдавская,п.Дорожный,Аксайский р-н,аренда</t>
  </si>
  <si>
    <t>Г-ввод ул.Молодежная,60, к ПГНД ул.Комсом,Молод,п.Рассвет, Аксайский р-н,аренда</t>
  </si>
  <si>
    <t>Г-ввод ул.Новая,16В х.Большой Лог к ПГВСД ул.Новая,х.Большой Лог, Аксайский р-н, аренда</t>
  </si>
  <si>
    <t>Г-ввод ул.Парковая,38/4,п.Российский,Аксайский р-н, стор.</t>
  </si>
  <si>
    <t>Г-ввод ул.Пешеходная,28, СНТ "Ника-4", сп.Большелогское,Аксайский р-н,стор.</t>
  </si>
  <si>
    <t>Г-ввод ул.Пионерская,116, х.Ленина, Аксайский р-н, стор.</t>
  </si>
  <si>
    <t>Г-ввод ул.Советская,10-Б, п.Щепкин, Аксайский р-н, стор.</t>
  </si>
  <si>
    <t>Г-ввод ул.Советская,339,ст.Грушевская, Аксайский р-н, стор.</t>
  </si>
  <si>
    <t>Г-ввод ул.Тарасовская,7, г.Аксай,Аксайский р-н, стор.</t>
  </si>
  <si>
    <t>ПГНД ул.Буденного по ул.Д.бедного Аксай</t>
  </si>
  <si>
    <t>ПНГНД от выхода ГСД расп в 11,4 м юго-запад угла ГРП № 22 по ул.Ленина в г.Аксай, инв.000015074</t>
  </si>
  <si>
    <t>ПНГНД ул Шолохова Аксай</t>
  </si>
  <si>
    <t>ГНД ул.Докукина-Южная граница города,Советская,Кирова г.Зверево,инв.№ 9-42021</t>
  </si>
  <si>
    <t>ГНД ул.Крупской,Вокзальная,Качалова,Безямянная, г.Зверево,инв.№ 000013306</t>
  </si>
  <si>
    <t>Г-ввод ул.Ботаническая 9 А   к Газификация ж.мкр.№42 в пос.ш.Антрацитг.Гуково,аренда</t>
  </si>
  <si>
    <t>Г-ввод ул.Центральная 105 к ГНД по ул.Центральная (от ГРП-9 А до ж.д.101) г.Гуково,аренда</t>
  </si>
  <si>
    <t>ГНД ул.Ульянова г.Гуково,инв.№000016163</t>
  </si>
  <si>
    <t>ГНД от ШРП 1,2,4 к ж.д.,ограниченным ул.Овражная,Красная Горка,Ковалева г.Гуково,инв.№000015833</t>
  </si>
  <si>
    <t>ГСД с ГРП №13 и ГНД ул.Краснодарская,Жуковского,Смоленская,Цимлянская,Добролюбова г.Гуково,инв.№9-41576</t>
  </si>
  <si>
    <t>РГ от ШРП №12,47,48 п.ш.Ростовская г.Гуково,инв.№000015026</t>
  </si>
  <si>
    <t>РГ от ШРП №17,56 п.ш.№24-26,Русецкий г.Гуково,инв.№000013751</t>
  </si>
  <si>
    <t>РГ от ШРП №18,57 п.ш.№24-26,Русецкий г.Гуково,инв.№00-000511</t>
  </si>
  <si>
    <t>РГ от ШРП №19  п.ш.№24-26,Русецкий г.Гуково,инв.№00-002264</t>
  </si>
  <si>
    <t>Г-ввод ул.Ворошилова,100 к ПГ ул.Ворошилова,88, ст.Егорлыкская, Егорлыкский р-н, аренда</t>
  </si>
  <si>
    <t>ГВНД х.Красный Яр Кагальницкий р-н, инв. 00-001996</t>
  </si>
  <si>
    <t>ГВСД ул.Макаренко, Остапенко, Пирогова, Машиностроительная, г.Зерноград, инв 15-70302</t>
  </si>
  <si>
    <t>ГНД ул.Первоконная от пер.Грицика до п.Калин,вост.окр.ст.Егорлыкской, Егорлыкский р-н,инв.000014122</t>
  </si>
  <si>
    <t>ГПНД ул.Горького,50,ст. Кагальницкая, Кагальницкий р-н, инв.15-45697</t>
  </si>
  <si>
    <t>ГПНД ул.Почтовая, ул.Базарная , ст.Кагальницкая, инв.15-45470</t>
  </si>
  <si>
    <t>ГПНД ул.Чкалова, ул.Ленина, г.Зерноград, инв.15-45610</t>
  </si>
  <si>
    <t>ПНГСД ул.Тургенева,Советская,Патолич,Ленина,ст.Егорлыкская,Егорлыкский р-н, инв.000015581</t>
  </si>
  <si>
    <t>РГНД х.Верхний Хомутец, Веселовского р-на, игв.000013822</t>
  </si>
  <si>
    <t>РГНД х.Кагальничек,Кагальницкого р-на, инв.15-70401</t>
  </si>
  <si>
    <t>Г-ввод ул. Кольцевая 28 х Морозов к ГВСНД х Морозов Морозовского р-на аренда</t>
  </si>
  <si>
    <t>Г-ввод ул. Пчеловодческая 1а х Морозов к ГВСНД х Морозов Морозовского р-на аренда</t>
  </si>
  <si>
    <t>ГСД ул. Калинина Дербенцева г Морозовск инв. 21-961</t>
  </si>
  <si>
    <t>ПГСД от ГГРП к воен. Город. г Морозовск инв 21-29</t>
  </si>
  <si>
    <t>ГСД с.Березовка,Сальский район,инв 31-03340</t>
  </si>
  <si>
    <t>ПНГВНД ул.Одесская, ул.Крайнюка,ул.Локтионова,ул.Димурина,г.Сальск, инв.000016027</t>
  </si>
  <si>
    <t>ПНГНД ул.Воровского,Верхняя,Прямая,Целинная, г.Сальск,инв.000015903</t>
  </si>
  <si>
    <t>ПНГСНД ул.Буденного,И.Яицкого,Полуляшк,Кирова,Школь, Ленина, с.Ивановка, Сальский р-н, инв.000015908</t>
  </si>
  <si>
    <t>ГВНД ул.Калинина 11-й переулок, Озерная,г.Семикаракорск, инв.000013198</t>
  </si>
  <si>
    <t>Г-ввод Магистральный сад,16,с.Вареновка,ВНГ АГРС Самбек,Варен,ул.Родник,Пер,Неклиновский р-н, аренда</t>
  </si>
  <si>
    <t>Г-ввод пер.Армейский,16, г.Таганрог, ГНД п.Вечность, г.Таганрог, аренда</t>
  </si>
  <si>
    <t>Г-ввод пер.Овражный,3,г.Таганрог,стор.</t>
  </si>
  <si>
    <t>Г-ввод пер.Тургеневский,84,г. Таганрог к ГАЗ/П-11НД21198м,А.Глушко,аренда</t>
  </si>
  <si>
    <t>Г-ввод ул.Азовская,71, х.Николаево-Козловский ВНГ х.Талалаевский,Никол-Козлов,Неклиновский р-н,аренд</t>
  </si>
  <si>
    <t>Г-ввод ул.Б.Бульварная,13-11, г.Таганрог, к ПГСД ул.Б.Бульварная,г.Таганрог,аренда</t>
  </si>
  <si>
    <t>Г-ввод ул.Березовая,7,с.Покровское,Неклиновский р-н, стор.</t>
  </si>
  <si>
    <t>Г-ввод ул.Доменская,45,г.Таганрог, к ГНД Домчебсов,г.Таганрог,аренда</t>
  </si>
  <si>
    <t>Г-ввод ул.К.Либкнехта,23,г.Таганрог к г-ду А.Глушко,г.Таганрог,аренда</t>
  </si>
  <si>
    <t>Г-ввод ул.Кавказская,59б,с.Троицкое, ВНГ с.Троицкое,Кошкино.Неклиновский р-н,аренда</t>
  </si>
  <si>
    <t>Г-ввод ул.Кооперативная,39,с.Самбек,к ПГ с.Самбек,ул.Центр,Морск,Подг,Берег,Неклиновский р-н, аренда</t>
  </si>
  <si>
    <t>Г-ввод ул.Маршала Жукова,120,г.Таганрог, к ГНД 3 ЛИНПР 9НОВ,аренда</t>
  </si>
  <si>
    <t>Г-ввод ул.Октябрьская,121, п.Золотая Коса,к ПГ х.Новолакедемонов Неклиновский р,аренда</t>
  </si>
  <si>
    <t>Г-ввод ул.Октябрьская,44а,с.А.Мелентьево, ВНГ ул.Октябр,Первом,Неклиновский р-н,аренда</t>
  </si>
  <si>
    <t>Г-ввод ул.Полевая,8а,с.Федоровка ВНГ с.Федоровка,улНабереКуйбСемаш Неклин р,аренд</t>
  </si>
  <si>
    <t>Г-ввод ул.Солнечная,40 с.Бессергеневка к ВНГ ул.Мирн1 от ШГРП-3 до Социал,с.Бесс, Неклинов р-н,аренд</t>
  </si>
  <si>
    <t>Г-ввод ул.Степная,35б,п.Зол.Коса к ВНГ х.Русск.Колодец,Маолод,Неклиновский р-н,аренда</t>
  </si>
  <si>
    <t>Г-ввод пер.Музыкальный,28, г.Шахты, стор</t>
  </si>
  <si>
    <t>Г-ввод ул.Калинина,144,р.п.Каменоломни,Октябрьский р-н</t>
  </si>
  <si>
    <t>Г-ввод ул.Шоссейная,1-з, г.Шахты к РГСД п.Каменоломни имп.Базе от Крупской, г.Шахты, аренда</t>
  </si>
  <si>
    <t>Г-ввод пер.Заводской,6а, г.Новочеркасск, стор.</t>
  </si>
  <si>
    <t>Г-ввод пер.Чистый,25, г.Новочеркасск, стор.</t>
  </si>
  <si>
    <t>Г-ввод ул.Лермонтова,11, г.Новочеркасск, стор.</t>
  </si>
  <si>
    <t>Г-ввод ул.Речная,61, г.Новочеркасск, стор.</t>
  </si>
  <si>
    <t>Г-ввод ул.Тополиная,6, г.Новочеркасск, стор.</t>
  </si>
  <si>
    <t>Г-ввод ул.Флерова,20, г.Новочеркасск, стор.</t>
  </si>
  <si>
    <t>РГ ул.Сарматская,Коллективная,Радужная,Медовая, г.Новочеркасск,инв.00-000231</t>
  </si>
  <si>
    <t>Всего по Обществу</t>
  </si>
  <si>
    <t>Г-ввод ул.Колодезная, 2П,тепличный комплекс, г.Гуково</t>
  </si>
  <si>
    <t>Г-ввод ул.Студенческая,8,г.Ростов-на-Дону к ГСД по ул.Студенческая,г.Ростов-на-Дону, аренда</t>
  </si>
  <si>
    <t>Г-ввод ул.М.Горького,491В к ГВД 2 кат по ул.Цимлянской, 39А, г.Батайск, аренда</t>
  </si>
  <si>
    <t>Г-д по территории с/т "Гидромеханизатор",г.Батайск, инв.000014302</t>
  </si>
  <si>
    <t>Г-д ул.Киевская, Дружбы, Гоголя, г.Батайск, инв.3-030144</t>
  </si>
  <si>
    <t>Г-д ул.Котовского, Рыбной,Калинина, г.Батайск, инв.3-030165</t>
  </si>
  <si>
    <t>Г-д ул.Кривошлыкова от пер. Западного до ул. Московской г.Батайск, инв.3-030191</t>
  </si>
  <si>
    <t>Г-д ул.Цимлянская,Балашова,Минская,Крымская,кооп."Союз", г.Батайск, инв.3-030383</t>
  </si>
  <si>
    <t>НГНД ул.Сальская-ул.Крымская, г.Батайск,инв.3-030385</t>
  </si>
  <si>
    <t>НедействуетГ-ввод ул.Гоголя,12,г.Батайск к г-ду по ул. Гоголя ,г.Батайск,аренда</t>
  </si>
  <si>
    <t>ПГВД и ПГНД ул.Минская,Ейская,Эстонская,Севастопольская,кооп."Магистраль", г.Батайск, инв.3-030386</t>
  </si>
  <si>
    <t>ПГН ул.Гоголя,95,г.Батайск,инв.3-030111</t>
  </si>
  <si>
    <t>ПГНД пер.Заречный,2 до ул.Почтовая,1, г.Батайск, инв.3-030129</t>
  </si>
  <si>
    <t>ПГНД ул.Иноземцева,Дружбы,г.Батайск, инв.3-030028</t>
  </si>
  <si>
    <t>ПГНД ул.Лермонтова,84, г.Батайск, инв.3-030399</t>
  </si>
  <si>
    <t>ПНГНД ул.Молдавская, Ставропольская, Крымская. Минская, г.Батайск инв.3-030388</t>
  </si>
  <si>
    <t>ПНГСД и ПГНД ул.Гайдаш от ул.Ленина до Гастелло и по ул.Матросова г.Батайск. инв.3-030088</t>
  </si>
  <si>
    <t>Г-ввод ул.Колхозная,16, Миллерово к НГпо ул.Колхозная,Советск,Ломанный,г.Миллерово,аренда</t>
  </si>
  <si>
    <t>Г-ввод ул.Российская,126А, Миллерово к НГпо ул.Крупская,14-18, г.Миллерово,аренда</t>
  </si>
  <si>
    <t>ПГВД ул.Декабристов,Артиллерийская, г.Миллерово,инв.20-Ф0041</t>
  </si>
  <si>
    <t>Председатель комиссии:</t>
  </si>
  <si>
    <t>Зам.ген.директора по КСИ</t>
  </si>
  <si>
    <t>___________________</t>
  </si>
  <si>
    <t>А.А. Ноздрачев</t>
  </si>
  <si>
    <t>Члены комиссии:</t>
  </si>
  <si>
    <t xml:space="preserve"> </t>
  </si>
  <si>
    <t>Начальник управления по эксплуатации газораспределительных систем</t>
  </si>
  <si>
    <t>И.О. Сафронов</t>
  </si>
  <si>
    <t>Начальник управления  капитального строительства</t>
  </si>
  <si>
    <t>А.Н. Авилов</t>
  </si>
  <si>
    <t xml:space="preserve">Ведущий бухгалтер </t>
  </si>
  <si>
    <t>М.В.Щусь</t>
  </si>
  <si>
    <t>НПГСНД п.Рассвет к п.Ковалевка и п.Золотой Колос,Аксайский р-н, инв.000015079</t>
  </si>
  <si>
    <t>Г-ввод в границах КСП им.Ленина,оптово-распред.центр,ОРЦ,Аксайский р-н</t>
  </si>
  <si>
    <t>Г-ввод нежилые помещения,АО Темерницкое,Аксайский р-н</t>
  </si>
  <si>
    <t>Г-ввод пр.Театральный,127/199-205, г.Ростов-на-Дону</t>
  </si>
  <si>
    <t>Г-ввод СД ул.1-й Конной Армии выставочный зал "Россия" - моя история, г.Ростов-на-Дону</t>
  </si>
  <si>
    <t>Г-ввод СД ул.Краснопартизанская,101, г.Белая Калитва</t>
  </si>
  <si>
    <t>Г-ввод ул.Объездная,9,Культурно-досуговый центр, г.Аксай</t>
  </si>
  <si>
    <t>Г-ввод ул.Парковая,5а,детско-юношеская спорт.школа № 2,г.Белая Калитва</t>
  </si>
  <si>
    <t>Г-ввод ул.Производственная,8,АБК,стол.цех,ЖБИ №1,ФПЦ-ВПИ, г.Батайск</t>
  </si>
  <si>
    <t>Г-ввод ул.Стабильная,3, многоквартирный жилой компл.с автост., г.Ростов-на-Дону</t>
  </si>
  <si>
    <t>Г-ввод х.Каменный Брод, асфальтобетонный завод,Родионово-Несветайский р-н</t>
  </si>
  <si>
    <t>Г-ввод Кагальницкое шоссе,в р-не ГСК Автомобилист, г.Азов, РГСД ул.Промышл,ГРП з-а КПА,г.Азов,аренда</t>
  </si>
  <si>
    <t>Г-ввод пер.Дугинчик,12,х.Дугино,к РГСД х.Дугино,ГРПШ-4,7,Азовский р-н,аренда</t>
  </si>
  <si>
    <t>Г-ввод пер.Карьерный,28,г.Азов, РГНД пер.Надежный,14, г.Азов,аренда</t>
  </si>
  <si>
    <t>Г-ввод пер.Короткий,2,г.Азов,ГНД ул.Солнечный,Красногоровской,Азовский р-н,аренда</t>
  </si>
  <si>
    <t>Г-ввод пер.Новослободский,3,с.Самарское,РГНД ул.Юбилейная,с.Самарское,Азовский р-н,аренда</t>
  </si>
  <si>
    <t>Г-ввод пер.Новослободский,7,с.Самарское,Азовский р-н,стор.</t>
  </si>
  <si>
    <t>Г-ввод пер.Полевой,23Б,г.АЗов,РГНД пер.Полевой,Матрос,г.Азов,аренда</t>
  </si>
  <si>
    <t>Г-ввод пер.Тихий,7А,г.Азов,РГНД ул.Азовская,жд №3-27,г.Азов,аренда</t>
  </si>
  <si>
    <t>Г-ввод пер.Урицкого,4,с.Головатовка,Азовский р-н,стор.</t>
  </si>
  <si>
    <t>Г-ввод снт Мичуринец-2,уч-к 551,Азовский р-н, стор.</t>
  </si>
  <si>
    <t>Г-ввод ул.Азовская,69 А,г.Азов,ГНД ул.Красногор,Павл,г.Азов,аренда</t>
  </si>
  <si>
    <t>Г-ввод ул.Дзержинского,49,с.Кагальник,ГНД ул.Дзержин.,М.Горького,с.Кагальник,Азовский р-н,аренда</t>
  </si>
  <si>
    <t>Г-ввод ул.Дугинчик,12,х. Дугино к РГСД подв. к х. Дугино, ГРПШ-4,Мясниковский р-н, аренда</t>
  </si>
  <si>
    <t>Г-ввод ул.Зеленый Гай,69, с.Самарское,РГНД ул.Зеленый Гай,с.Самарское,Азовский р-н</t>
  </si>
  <si>
    <t>Г-ввод ул.Луначарского,15Б,с.Семибалки,Азовский р-н,стор.</t>
  </si>
  <si>
    <t>Г-ввод ул.Макаровского,58,г.Азов,РГНД ул.Макаровского,пер.Урицк,г.Азов,аренда</t>
  </si>
  <si>
    <t>Г-ввод ул.Маяковского,146,с.Самарское,РГНД ул.Мельничн,пер.Первом,с.Самарское,Азовский р-н,аренда</t>
  </si>
  <si>
    <t>Г-ввод ул.О.Кошевого,5,г.Азов,РГСД ул.Кошев,Мира до Москов,г.Азов,аренда</t>
  </si>
  <si>
    <t>Г-ввод ул.Оборонная,15,г.Азов, РГНД ул.Оборонная,г.Азов,аренда</t>
  </si>
  <si>
    <t>Г-ввод ул.Павлова,73 Д,г.Азов, ГНД ул.Ст.Разина,Ленина,Железн,г.Азов,аренда</t>
  </si>
  <si>
    <t>Г-ввод ул.Пушкина,104,с.Кагальник,ГНД ул.Пушкина,М.Горького,с.Кагальник,Азовский р-н,аренда</t>
  </si>
  <si>
    <t>Г-ввод ул.Севастопольская,73,г.Азов к РГНД по ул.Севастопольской от пер.Межевого до Кулагин,аренда</t>
  </si>
  <si>
    <t>ГНД пер.Красноармейскому до ж.д. № 7 по пер.Рыбацкий, с.Кагальник,Азовский район,инв.000014454</t>
  </si>
  <si>
    <t>ГСД для развития Северо-Восточной рекреационной зоны г.Азов</t>
  </si>
  <si>
    <t>ПАО "Газпром газораспределение Ростов-на-Дону" в г.  Аксай</t>
  </si>
  <si>
    <t>Г-ввод пер.Грибной,18, п.Российский, Аксайский р-н, стор.</t>
  </si>
  <si>
    <t>Г-ввод пер.Звездный,2-в, ст.Старочеркасская,Аксайский р-н, стор.</t>
  </si>
  <si>
    <t>Г-ввод пер.Яркий,12, снт Виктория-7, п.Российский,Аксайский р-н,стор.</t>
  </si>
  <si>
    <t>Г-ввод ст Энергия,уч-к 177, Аксайский р-н, стор.</t>
  </si>
  <si>
    <t>Г-ввод ул.Брусничная,15, п.Степной,Аксайский р-н, стор.</t>
  </si>
  <si>
    <t>Г-ввод ул.Виноградная,1746, снт Содружество,Аксайский р-н, стор.</t>
  </si>
  <si>
    <t>Г-ввод ул.Жасминовая, уч-к 1854, СНТ Содружество,Аксайский р-н, стор.</t>
  </si>
  <si>
    <t>Г-ввод ул.Заводская,6, х.Маяковского, Аксайский р-н</t>
  </si>
  <si>
    <t>Г-ввод ул.Каскадная,17, п.Реконструктор, Аксайский р-н, стор.</t>
  </si>
  <si>
    <t>Г-ввод ул.Комсомольская,64,ст.Мишкинская,Аксайский р-н,стор.</t>
  </si>
  <si>
    <t>Г-ввод ул.Косачева,27, п.Степной,Аксайский р-н, стор.</t>
  </si>
  <si>
    <t>Г-ввод ул.Красноармейская,154-Д,Аксайский р-н,стор.</t>
  </si>
  <si>
    <t>Г-ввод ул.Лилий, уч-к 2065, СНТ Содружество, Аксайский р-н,стор.</t>
  </si>
  <si>
    <t>Г-ввод ул.Луговая,21,х.Большой Лог,Аксайский р-н, стор.</t>
  </si>
  <si>
    <t>Г-ввод ул.Парковая,27,п.Российский,Аксайский р-н, стор.</t>
  </si>
  <si>
    <t>Г-ввод ул.Пешеходная,22, СНТ Ника-4,Аксайский р-н, стор.</t>
  </si>
  <si>
    <t>Г-ввод ул.Подтелкова,42, х.Камышеваха,Аксайский р-н, стор.</t>
  </si>
  <si>
    <t>Г-ввод ул.Ростовская,28и,п.Рассвет, Аксайский р-н, стор.</t>
  </si>
  <si>
    <t>Г-ввод ул.Фадеева,72, х.Большой Лог, Аксайский р-н, стор.</t>
  </si>
  <si>
    <t>Г-ввод ул.Эксперементальная,67А, п.Рассвет, к ПГНД 4 кат,  Аксайский р-н,аренда</t>
  </si>
  <si>
    <t>Г-ввод ул.Ясененвая,1/10, п.Российский,Аксайский р-н, стор.</t>
  </si>
  <si>
    <t>ГВНД ул.Калинина, х.Большой Лог, Аксайский р-н, инв.01-00936</t>
  </si>
  <si>
    <t>ПГВД п.Реконструктор от ГРС Аксайский до ГРП  Аксайского района,инв.000013673</t>
  </si>
  <si>
    <t>ГСД к котельной КГ-15 Б,г.Гуково,инв.№9-001187</t>
  </si>
  <si>
    <t>Г-ввод пер.Болгарский,33,г.Гуково,стор.</t>
  </si>
  <si>
    <t>Газ-я 1 очереди,ГНД для частного сектора ул.Мусоргского,Халтурина,Пархоменко,47 Гв.Дивизии г.Зверево,аренда</t>
  </si>
  <si>
    <t>ПНГСНД ул.Герцена,ул.Бургустинская,пер.Болгарский,ул.К.Маркса,Некрасова в г.Гуково, инв.000015392</t>
  </si>
  <si>
    <t>ПАО "Газпром газораспределение Ростов-на-Дону" в г.  Батайске</t>
  </si>
  <si>
    <t>Г-ввод ул.Гоголя,12, Батайск, к  г-ду по ул. Гоголя, аренда</t>
  </si>
  <si>
    <t>Г-ввод ул.М.Горького,297Н, храм Батайск, к РГСД по ул. Эстонской  ул. М. Горького, аренда</t>
  </si>
  <si>
    <t>Г-ввод ул.Медовая,17,г.Батайск,стор.</t>
  </si>
  <si>
    <t>Г-ввод ул.Медовая,21,г.Батайск,стор.</t>
  </si>
  <si>
    <t>Г-ввод ул.Ясеневая,26, г.Батайск, стор.</t>
  </si>
  <si>
    <t>ПГНД ул.Кооперативная,44,г.Батайск,инв. 3-030094</t>
  </si>
  <si>
    <t>ПГНД ул.Луначарского,131,г.Батайск, инв.3-030110</t>
  </si>
  <si>
    <t>ПГСД от котельной ЗМЗ по ул. Воровского до котельной МПС  г.Батайск,инв.3-030221</t>
  </si>
  <si>
    <t>ПГСД ул.Ленина,от ул.Матросова,Бекентьева, до К.Цеткин,Совхозная,  г.Батайск,инв.3-030033</t>
  </si>
  <si>
    <t>ПГСНД ул.1-й Пятилетки, ул.Московская от ул. Куйбышева  г.Батайск,3-030052</t>
  </si>
  <si>
    <t xml:space="preserve">ПАО "Газпром газораспределение Ростов-на-Дону" в г. Белая Калитва </t>
  </si>
  <si>
    <t>ГСНД п.Синегорский Белокалитвиснкого района (2 этап) инв. 00-002263</t>
  </si>
  <si>
    <t>ПАО "Газпром газораспределение Ростов-на-Дону" в г. Волгодонске</t>
  </si>
  <si>
    <t>ПАО "Газпром газораспределение Ростов-на-Дону" в г. Гуково</t>
  </si>
  <si>
    <t>ПАО "Газпром газораспределение Ростов-на-Дону" в г. Донецк</t>
  </si>
  <si>
    <t>ПАО "Газпром газораспределение Ростов-на-Дону" в г. Зернограде</t>
  </si>
  <si>
    <t>Г-ввод пер.Кольцовский,12 к г-ду МКР п.Кузьминовка,ст.Кагальницкая,Кагальницкий р-н,аренда</t>
  </si>
  <si>
    <t>Г-ввод пер.Молодежный,47б, п.Веселый, Веселовский р-н, стор.</t>
  </si>
  <si>
    <t>Г-ввод ул.Механизаторов,10, кв.3 к ГНД п.Юловский, Целинский р-н</t>
  </si>
  <si>
    <t>Г-ввод ул.Новостройки,13,ст.Кировская, Кагальницкий р-н, стор.</t>
  </si>
  <si>
    <t>Г-ввод ул.Парковая,43, к ГНД ул.Парковая,х.Ильинский,Егорлыкский р-н,стор.</t>
  </si>
  <si>
    <t>Г-ввод ул.Речная,42, ГСНД перех.через р.Кагальник к п.Лиман,ст.Кагальницкая,Кагальницкий р-н,аренда</t>
  </si>
  <si>
    <t>Г-ввод ул.Садовая,20,22,24,26, ст.Сладкая Балка,Целинский р-н,стор.</t>
  </si>
  <si>
    <t>Г-ввод ул.Строителей, 47, г.Зерноград к ПГНД ул.Строителей,47, г.Зерноград, аренда</t>
  </si>
  <si>
    <t>ГНД ул.Ленина,ст.Кировская,Кагальницкий р-н, инв.000014081</t>
  </si>
  <si>
    <t>ГНД ул.Мира, х.Иваново-Шамшево, Кагальницкий район, инв.15-48050</t>
  </si>
  <si>
    <t>ГНД ул.Мичурина,48 г. Зерноград, Зерноградский р-н, инв.000014111</t>
  </si>
  <si>
    <t>ГНД ул.Олимпийская, ст. Кировская, Кагальницкий район, инв 000014070</t>
  </si>
  <si>
    <t>ГПНД от ШРП №1,2,3,4 с.Степное,Целинского р-на, инв.15-70263</t>
  </si>
  <si>
    <t>ГПНД ул.Вокзальная, ст.Кагальницкая, Кагальницкий р-н,инв.15-45464</t>
  </si>
  <si>
    <t>ГПНД ул.Гайдара,Северная,г.Зерноград, инв.15-45671</t>
  </si>
  <si>
    <t>ГПНД ул.Петровская,ст.Егорлыкская,Егорлыкский р-н,инв.15-70190</t>
  </si>
  <si>
    <t>ГСНД ул.Дзержинского,г.Зерноград,инв.000016169</t>
  </si>
  <si>
    <t>ПГНД ул.Заводская от загл.до вост.окраины, Егорлыкский р-н, инв. 15-03058</t>
  </si>
  <si>
    <t>ПГНД ул.Калинина,Октябрьский,Социалистический,ст.Кагальницкая,Кагальницкий р-н, инв.15-45693</t>
  </si>
  <si>
    <t>ПНГНД пер.Первомай,ул.Орджоник,Войкова,Грицика,ст.Егорлыкская, Егорлыкский р-н,инв.15-03004</t>
  </si>
  <si>
    <t>ПНГНД ул.Зерноградская,Косар,Ввозного,пер.Николь,ул.Береста,п.Дубки,Зерноградский р-н, инв.000016232</t>
  </si>
  <si>
    <t>Г-ввод ул.Школьная,114 х.Терновой Миллеровский р-он , стор.</t>
  </si>
  <si>
    <t>Г-ввод ул.Байдукова,1,.Миллерово,к НГ ул.Байдукова,2-8,Толстого,Гаврилова,г.Миллерово,аренда</t>
  </si>
  <si>
    <t>ПАО "Газпром газораспределение Ростов-на-Дону" в г. Миллерово</t>
  </si>
  <si>
    <t>Г-ввод  ул. Грекова 16 кв 1 х Костино-Быстрянский Морозовского р-н</t>
  </si>
  <si>
    <t>ПАО "Газпром газораспределение Ростов-на-Дону" в г.Морозовске</t>
  </si>
  <si>
    <t>ПАО "Газпром газораспределение Ростов-на-Дону" в г. Сальске</t>
  </si>
  <si>
    <t>ПАО "Газпром газораспределение Ростов-на-Дону" в г.  Семикаракорске</t>
  </si>
  <si>
    <t>ПАО "Газпром газораспределение Ростов-на-Дону" в г. Таганроге</t>
  </si>
  <si>
    <t>Г-ввод 1300 км.СКЖД,снт Приморье,уч-к 317, Неклиновский р-н,стор.</t>
  </si>
  <si>
    <t>Г-ввод 30 переулок,21-А,г.Таганрог,стор.</t>
  </si>
  <si>
    <t>Г-ввод Авангард сад,42,с.Вареновка,Неклиновский р-н,стор.</t>
  </si>
  <si>
    <t>Г-ввод ДНТ Металлург-1,365, с.Николаевка,Неклиновский р-н,стор.</t>
  </si>
  <si>
    <t>Г-ввод ДНТ Полет,59,с.Николаевка,Неклиновский р-н, сто.</t>
  </si>
  <si>
    <t>Г-ввод ДСК Сигма,25,с.Николаевка,Неклиновский р-н,стор.</t>
  </si>
  <si>
    <t>Г-ввод Мариупольское шоссе,40-1,СНТ Работник просвещения, уч-к 292, г.Таганрог,стор.</t>
  </si>
  <si>
    <t>Г-ввод Металлург-2 сад,245,ВНГ ул.Мирн1,ШГРП-3,с.Бессергеновка,Неклиновский р-н</t>
  </si>
  <si>
    <t>Г-ввод НДТ Мичуринец-1, М 61, Николаевское шоссе,7-м, г.Таганрог, стор.</t>
  </si>
  <si>
    <t>Г-ввод НДТ Мичуринец-1,А-82,г.Таганрог,стор.</t>
  </si>
  <si>
    <t>Г-ввод Николаевское шоссе,19-1,ДНТ Весна,уч-к 2,г.Таганрог,стор.</t>
  </si>
  <si>
    <t>Г-ввод Николаевское шоссе,7а,аллея 17, уч-к 26, г.Таганрог,стор.</t>
  </si>
  <si>
    <t>Г-ввод пер.Криничный,4а,с.Троицкое,ПГ Кошкино,АГРС,Неклиновский р-н,аренда</t>
  </si>
  <si>
    <t>Г-ввод пер.Некрасова,7а,с.Синявское,ВНГ с.Никол,Гаевка,Неклиновский р-н,аренда</t>
  </si>
  <si>
    <t>Г-ввод пер.Украинский,17,кв.1,с.Покровское,Неклиновский р-н,стор</t>
  </si>
  <si>
    <t>Г-ввод пр-зд Межлумяна,14,г.Таганрог,стор.</t>
  </si>
  <si>
    <t>Г-ввод с/т Парус,9, с.Николаевка,ВНГ с.Никол,Гаевка,Неклиновский р-н,аренда</t>
  </si>
  <si>
    <t>Г-ввод СНТ Дачное-1,аллея,9, уч-к 79, г.Таганрог,стор.</t>
  </si>
  <si>
    <t>Г-ввод ул.Айвазовского,26, г.Таганрог, стор.</t>
  </si>
  <si>
    <t>Г-ввод ул.Алексея Береста,43,с.Покровское,Неклиновский р-н,стор.</t>
  </si>
  <si>
    <t>Г-ввод ул.Березовая,23,с.Покровское,Неклиновский р-н,стор.</t>
  </si>
  <si>
    <t>Г-ввод ул.Гоголя,6и,с.Николаевка,Неклиновский р-н,стор.</t>
  </si>
  <si>
    <t>Г-ввод ул.Западная,32,с.Самбек,ПГ с.Самбек,ул.Центр,Морск,Подг,Неклиновский р-н,аренда</t>
  </si>
  <si>
    <t>Г-ввод ул.Межевая,9,Николаевка,Неклиновский р-н,стор.</t>
  </si>
  <si>
    <t>Г-ввод ул.Набережная,17А,х.Грузиновка,Неклиновский р-н, стор.</t>
  </si>
  <si>
    <t>Г-ввод ул.Первомайская,53,с.Куйбышево,к ГСД Первом-Куйбышевская,Неклиновский р-н</t>
  </si>
  <si>
    <t>Г-ввод ул.Сельхозтехники,1А,с.Покровское,Неклиновский р-н,стор.</t>
  </si>
  <si>
    <t>Г-ввод ул.Солнечная,27,с.Новобессергеновка,Неклиновский р-н,стор.</t>
  </si>
  <si>
    <t>Г-ввод ул.Солнечная,29,с.Новобессергеновка,Неклиновский р-н,стор.</t>
  </si>
  <si>
    <t>Г-ввод ул.Солнечная,31,с.Новобессергеновка,Неклиновский р-н,стор.</t>
  </si>
  <si>
    <t>Г-ввод ул.Социалистическая,150-4,бокс 150, г.Таганрог,стор.</t>
  </si>
  <si>
    <t xml:space="preserve">ПАО "Газпром газораспределение Ростов-на-Дону" в с. Чалтырь </t>
  </si>
  <si>
    <t>ГНД ул.Заречная, х.Павленков, Родионово-Несветайский район,инв23-00118</t>
  </si>
  <si>
    <t>ПАО "Газпром газораспределение Ростов-на-Дону" в сл.Родионово-Несветайской</t>
  </si>
  <si>
    <t>Г-ввод ДОСЛ-4 Мичуринец,уч-к 283, г.Новочеркасск,стор.</t>
  </si>
  <si>
    <t>Г-ввод пер.Заветный,50, СТ 11,ул.Пятая,г.Новочеркасск, стор.</t>
  </si>
  <si>
    <t>Г-ввод пр.Баклановский,134А,г.Новочеркасск,стор.</t>
  </si>
  <si>
    <t>Г-ввод пр.Платовский,77,г.Новочеркасск,РГНД ул.Михайловская,г.Новочеркасск,аренда</t>
  </si>
  <si>
    <t>Г-ввод СТ № 3 Мелиоратор, уч-к 133, г.Новочеркасск, стор.</t>
  </si>
  <si>
    <t>Г-ввод СТ Донские зори НЗСП № 473, г.Новочеркасск,стор.</t>
  </si>
  <si>
    <t>Г-ввод ул.4-я Жасминная, уч-к 105, СНТ № 7, г.Новочеркасск, стор</t>
  </si>
  <si>
    <t>Г-ввод ул.Железнодорожная,73,г.Новочеркасск,стор.</t>
  </si>
  <si>
    <t>Г-ввод ул.Казачья,34а,г.Новочеркасск,РГНД ул.Казачья,г.Новочеркасск,аренда</t>
  </si>
  <si>
    <t>Г-ввод ул.Ольховая,26,г.Новочеркасск,стор.</t>
  </si>
  <si>
    <t>Г-ввод ул.Петровская,14,г.Новочеркасск,стор.</t>
  </si>
  <si>
    <t>Г-ввод ул.Сарматская,46,г.Новочеркасск,стор.</t>
  </si>
  <si>
    <t>ГСНД в гр.п.Братский, ул.Астраханск, п.Тимирязева,ул.Нечаева п.Татарка г.Новочеркасск, инв.000014705</t>
  </si>
  <si>
    <t>Г-ввод ул.Первая,33,Лит.А,ДОСЛ №4 Мичуринец, г.Новочеркасск к г-ду ул.Ященко, г.Новочеркасск, аренда</t>
  </si>
  <si>
    <t>Г-ввод ул.Первая,33,Лит.Б,ДОСЛ №4 Мичуринец, г.Новочеркасск к г-ду ул.Ященко, г.Новочеркасск, аренда</t>
  </si>
  <si>
    <t>Г-ввод ул.Транспортная,2-д,г.Новочеркасск к РГ ул.Транспортная, г.Новочеркасск, аренда</t>
  </si>
  <si>
    <t>ПАО "Газпром газораспределение Ростов-на-Дону" в г.Новочеркасске</t>
  </si>
  <si>
    <t>ПАО "Газпром газораспределение Ростов-на-Дону" в г. Шахты</t>
  </si>
  <si>
    <t xml:space="preserve">Г-ввод пер.Музыкальный,26,г.Шахты РГНД ул.Антрацитовая, г.Шахты, </t>
  </si>
  <si>
    <t>02.10.2017</t>
  </si>
  <si>
    <t>01.10.2018</t>
  </si>
  <si>
    <t>20.10.2017</t>
  </si>
  <si>
    <t>19.10.2018</t>
  </si>
  <si>
    <t>18.10.2017</t>
  </si>
  <si>
    <t>17.10.2018</t>
  </si>
  <si>
    <t>04.10.2017</t>
  </si>
  <si>
    <t>12.04.2017</t>
  </si>
  <si>
    <t>11.10.2018</t>
  </si>
  <si>
    <t>РГНД ул.Катаева 129-161, Заломова 15-25, г.Шахты, аренда</t>
  </si>
  <si>
    <t>Г-ввд ул.6-я улица,1а, СНТ Донподход, к ПГНД по тер.СНТ Донподход, г.Ростов-на-Дону, стор.</t>
  </si>
  <si>
    <t>Г-ввод ДНТ Исток,276, г.Ростов-на-Дону,стор.</t>
  </si>
  <si>
    <t>Г-ввод ДНТ Победа,97,г.Ростов-на-Дону,стор.</t>
  </si>
  <si>
    <t>Г-ввод ДНТ Утро,113,г.Ростов-на-Дону,стор.</t>
  </si>
  <si>
    <t>Г-ввод ДНТ Утро,175,г.Ростов-на-Дону,стор.</t>
  </si>
  <si>
    <t>Г-ввод ДНТ Утро,18,г.Ростов-на-Дону,стор.</t>
  </si>
  <si>
    <t>Г-ввод ДНТ Утро,205,г.Ростов-на-Дону,стор.</t>
  </si>
  <si>
    <t>Г-ввод ДНТ Утро,232,г.Ростов-на-Дону,стор.</t>
  </si>
  <si>
    <t>Г-ввод ДНТ Утро,63,г.Ростов-на-Дону,стор.</t>
  </si>
  <si>
    <t>Г-ввод пер 9-й Лазоревый,62, г.Ростов-на-Дону, к ПГНД пер. 9-й Лазоревый, г.Ростов-на-Дону, стор.</t>
  </si>
  <si>
    <t>Г-ввод пер.1-й Берестяной,42,уч.138, ДНТ Утро, г.Ростов-на-Дону, ГНД ДНТ Утро, г.Ростов-на-Дону,стор</t>
  </si>
  <si>
    <t>Г-ввод пер.1-й Берестяной,уч.132, ДНТ Утро,54, г.Ростов-на-Дону, стор.</t>
  </si>
  <si>
    <t>Г-ввод пер.1-й Берестяной,уч.141, ДНТ Утро, г.Ростов-на-Дону, ГНД ДНТ Утро, г.Ростов-на-Дону,стор</t>
  </si>
  <si>
    <t>Г-ввод пер.1-й Берестяной,уч.73, ДНТ Утро,85, г.Ростов-на-Дону, стор.</t>
  </si>
  <si>
    <t>Г-ввод пер.1-й Кольский,8а,г.Ростов-на-Дону к ПГНД по ул.1-й Кольский,г.Ростов-на-Дону,аренда</t>
  </si>
  <si>
    <t>Г-ввод пер.2-й Берестяной,121, ДНТ Утро,187, г.Ростов-на-Дону,стор</t>
  </si>
  <si>
    <t>Г-ввод пер.2-й Берестяной,224,ДНТ Утро, г.Ростов-на-Дону, ГНД ДНТ Утро, г.Ростов-на-Дону,стор</t>
  </si>
  <si>
    <t>Г-ввод пер.2-й Берестяной,84, ДНТ Утро,198, г.Ростов-на-Дону, ГНД ДНТ Утро, г.Ростов-на-Дону,стор</t>
  </si>
  <si>
    <t>Г-ввод пер.2-й Мужественный,10 ст Вива Виктория,37, г.Ростов-на-Дону, стор.</t>
  </si>
  <si>
    <t>Г-ввод пер.2-й переулок,115, г.Ростов-на-Дону, к ГНД пер. 2-й, г.Ростов-на-Дону,аренда</t>
  </si>
  <si>
    <t>Г-ввод пер.2-й Черкасский,3, г.Ростов-на-Дону к ПГНД по тер. "Алмаз", аренда</t>
  </si>
  <si>
    <t>Г-ввод пер.3-й Бронзовый,4, г.Ростов-на-Дону,стор.</t>
  </si>
  <si>
    <t>Г-ввод пер.3-й Лазоревый,19а,г.Ростов-на-Дону к ПГНД пер.3-й Лазоревый,г.Ростов-на-Дону,стор.</t>
  </si>
  <si>
    <t>Г-ввод пер.3-й Лазоревый,23, г.Ростов-на-Дону к ПГНД по тер. СНТ "Урожай", г. Ростов-на-Дон</t>
  </si>
  <si>
    <t>Г-ввод пер.4-й Берестяной,13,уч.364, ДНТ Утро, г.Ростов-на-Дону, стор.</t>
  </si>
  <si>
    <t>Г-ввод пер.4-й Берестяной,45,уч.348, ДНТ Утро, г.Ростов-на-Дону,стор.</t>
  </si>
  <si>
    <t>Г-ввод пер.4-й Кустарный,1,ДНТ Утро,16,г.Ростов-на-Дону,стор.</t>
  </si>
  <si>
    <t>Г-ввод пер.4-й Кустарный,19,ДНТ Утро, г.Ростов-на-Дону,стор.</t>
  </si>
  <si>
    <t>Г-ввод пер.5-й Кустарный,31,ДНТ Утро,42,г.Ростов-на-Дону,стор.</t>
  </si>
  <si>
    <t>Г-ввод пер.5-й Кустарный,56,ДНТ Утро,56,г.Ростов-на-Дону,стор.</t>
  </si>
  <si>
    <t>Г-ввод пер.5-й Кустарный,57,уч 29, ДНТ Утро,г.Ростов-на-Дону, к ГНД ДНТ Утро, г.Ростов-на-Дону,стор.</t>
  </si>
  <si>
    <t>Г-ввод пер.5-й Лазоревый, 90, г.Ростов-на-Дону, к ПГНД по тер. СНТ Урожай, г.Ростов-на-Дону, стор.</t>
  </si>
  <si>
    <t>Г-ввод пер.5-й Поселковый,18,г.Ростов-на-Дону,ПГНД пер.Аэроклуб.г.Ростов-на-Дону,аренда</t>
  </si>
  <si>
    <t>Г-ввод пер.5-й Санинструкторский,6, г.Ростов-на-Дону,к ПГНД пер.5-й Саниструкторский,аренда</t>
  </si>
  <si>
    <t>Г-ввод пер.6-й Касательный,6,г.Ростов-на-Дону,стор.</t>
  </si>
  <si>
    <t>Г-ввод пер.9-й Лазоревый,7/36, г.Ростов-на-Дону, стор.</t>
  </si>
  <si>
    <t>Г-ввод пер.Аэроклубовский,63, г.Ростов-на-Дону, к ПГНД пер.Аэроклубовский, г.Ростов-на-Дону,аренда</t>
  </si>
  <si>
    <t>Г-ввод пер.Беломорский,98,г.Ростов-на-Дону,стор.</t>
  </si>
  <si>
    <t>Г-ввод пер.Беспалого,9,г.Ростов-на-Дону,стор.</t>
  </si>
  <si>
    <t>Г-ввод пер.Денисова,42А, г.Ростов-на-Дону,стор.</t>
  </si>
  <si>
    <t>Г-ввод пер.Джамбульский,1/52,г.Ростов-на-дону РГСД пер.Джамбуль,г.Ростов-на-Дону,аренда</t>
  </si>
  <si>
    <t>Г-ввод пер.Долевой,2г,г.Ростов-на-Дону к ГНД по пер.Долевой,г.Ростов-на-Дону,аренда</t>
  </si>
  <si>
    <t>Г-ввод пер.Дунаевского,10, г.Ростов-на-Дону к ПГНД пер.Дунаевского,г.Ростов-на-Дону,аренда</t>
  </si>
  <si>
    <t>Г-ввод пер.Лазоревый,3, ст. Урожай,уч-к 10-03, г.Ростов-на-Дону, стор.</t>
  </si>
  <si>
    <t>Г-ввод пер.Марксистский,42, г.Ростов-на-Дону,ПГНД пер.Марксисткий,г.Ростов-на-Дону,аренда</t>
  </si>
  <si>
    <t>Г-ввод пер.Молодогвардейский,70Б,г.Ростов-на-Дону г.ГСД пер.Молодогвардейский,г.Ростов-на,аренда</t>
  </si>
  <si>
    <t>Г-ввод пер.Небесный,16а,п.Верхнетемерницкий,Аксайский р-н, стор.</t>
  </si>
  <si>
    <t>Г-ввод пер.Несветайский,6А,г.Ростов-на-Дону, к ГНД ул.Зявкина,г.Ростов-на-Дону,аренда</t>
  </si>
  <si>
    <t>Г-ввод пер.Орджоникидзе,1б, г.Ростов-на-Дону,к ПГНД пер.Орджоникидзе,г.Ростов-на-Дону,аренда</t>
  </si>
  <si>
    <t>Г-ввод пер.Расковой,20,г.Ростов-на-Дону к ГНД по пер.Расковой, аренда</t>
  </si>
  <si>
    <t>Г-ввод пер.Саперный,28,г.Ростов-на-Дону,стор.</t>
  </si>
  <si>
    <t>Г-ввод пер.Свекольный,19а к ПГНД по тер.ДНТ Садовод-Любитель,г.Ростов-на-Дону, стор.</t>
  </si>
  <si>
    <t>Г-ввод пер.Семашко,21А/58Б,г.Ростов-на-Дону, к ПГНД ул.Темерницкая,г.Ростов-на-Дону,аренда</t>
  </si>
  <si>
    <t>Г-ввод пер.Соборный,24,г.Ростов-на-Дону,стор.</t>
  </si>
  <si>
    <t>Г-ввод пер.Созвездия,29, п.Верхнетемерницкий,Аксайский р-н, стор.</t>
  </si>
  <si>
    <t>Г-ввод пер.Сорокина,6,г.Ростов-на-Дону к ГСД по пер.Сорокина,Ростов-на-Дону, аренда</t>
  </si>
  <si>
    <t>Г-ввод пер.Строевой,40а, г.Ростов-на-Дону, к ГНД СНТ Авангард-3, г.Ростов-на-Дону, стор.</t>
  </si>
  <si>
    <t>Г-ввод пер.Третьякова,6, г.Ростов-на-Дону, к ПГНД ул.Шостаковича,г.Ростов-на-Дону, стор.</t>
  </si>
  <si>
    <t>Г-ввод пер.Тувинский,49г,г.Ростов-на-Дону к ГНД по пер.Дзержинского, аренда</t>
  </si>
  <si>
    <t>Г-ввод пер.Фруктовый,10/36,г.Ростов-на-Дону,к ПГНД ул.Калитвенская,2-й Пятилетки,Ростов-на-Дону,арен</t>
  </si>
  <si>
    <t>Г-ввод пер.Ярошенко,13, к ПГНД по пер.Ярошенко,г.Ростов-на-Дону, аренда</t>
  </si>
  <si>
    <t>Г-ввод пл. Рыбака,1,г.Ростов-на-Дону к ГНД по пл. Рыбака, аренда</t>
  </si>
  <si>
    <t>Г-ввод пр-д Михайловский,12/19, п.Темерницкий к ПГНД ДНТ "Ореховая Роща",Аксайский р-н, аренда</t>
  </si>
  <si>
    <t>Г-ввод пр-зд 1-й Тверской,73,п.Темерницкий,Аксайский р-н,стор.</t>
  </si>
  <si>
    <t>Г-ввод пр-зд Видный,38/41, п.Темерницкий,Аксайский р-н,стор.</t>
  </si>
  <si>
    <t>Г-ввод пр-зд Прохладный,6Б, п.Темерницкий,Аксайский р-н,стор.</t>
  </si>
  <si>
    <t>Г-ввод пр-кт 40-летия Победы,59,г.Ростов-на-Дону к ПГНД по пр-кт 40-лет Поб,Ростов-на-Дону, аренда</t>
  </si>
  <si>
    <t>Г-ввод пр-кт 40-летия Победы,73/18г.Ростов-на-Дону к РГНД по пр-кт 40-лет Поб,Ростов-на-Дону, аренда</t>
  </si>
  <si>
    <t>Г-ввод пр. Михайловский, кн.61:02:06000056:4361, п. Темерницкий, Аксайский р,стор.</t>
  </si>
  <si>
    <t>Г-ввод пр.40 лет Победы,55ж,г.Ростов-на-Дону г.ГСД пр.40 лет Победы,ж.д.55,57,53а,57аг.Ростов,аренда</t>
  </si>
  <si>
    <t>Г-ввод пр.40 летия Победы,320/2, г.Ростов-на-Дону,НГНД пр.40-летия Победы,аренад</t>
  </si>
  <si>
    <t>Г-ввод пр.Кировский,98,г.Ростов-на-Дону к ГСД по пр. Кировский,г.Ростов-на-Дону,аренда</t>
  </si>
  <si>
    <t>Г-ввод пр.Маршала Жукова,35/8, к.н. 61:44:000000:0996, г.Ростов-на-Дону,ПГСД ул.Доватора,аренда</t>
  </si>
  <si>
    <t>Г-ввод пр.Стачки,114,г.Ростов-на-Дону,стор.</t>
  </si>
  <si>
    <t>Г-ввод пр.Стачки,124,г.Ростов-на-Дону к ПГНД ул.4-я Кольцевая,г.Ростов-на-Дону,аренда</t>
  </si>
  <si>
    <t>Г-ввод пр.Стачки,199,203 г.Ростов-на-Дону к ПГНД пр.Стачки, г.Ростов-на-Дону, аренда</t>
  </si>
  <si>
    <t>Г-ввод пр.Стачки,257А, г.Ростов-на-Дону к ПГСД пр.Стачки, г.Ростов-на-Дону,аренда</t>
  </si>
  <si>
    <t>Г-ввод пр.Стачки,318,г.Ростов-на-Дону, к ПГСД пр.Стачки,г,Ростов-на-Дону,аренда</t>
  </si>
  <si>
    <t>Г-ввод пр.Удачный,8, п. Темерницкий,Аксайский р, стор.</t>
  </si>
  <si>
    <t>Г-ввод р-н комплекса Ростовской таможни.вдоль п.Водопадный,Аксайский р-н,аренда</t>
  </si>
  <si>
    <t>Г-ввод с/т Задонье,609, г.Ростов-на-Дону, к ГНД с/т Задонье, г.Ростов-на-Дону, стор.</t>
  </si>
  <si>
    <t>Г-ввод СНТ Братство,669, г.Ростов-на-Дону,стор.</t>
  </si>
  <si>
    <t>Г-ввод СНТ Дон,10а, г.Ростов-на-Дону, к ГНД по тер.СНТ Дон, г.Ростов-на-Дону, стор.</t>
  </si>
  <si>
    <t>Г-ввод снт Женьшень,41, ул.Женьшеневая,26а, г.Ростов-на-Дону,стор.</t>
  </si>
  <si>
    <t>Г-ввод снт Женьшень,41, ул.Женьшеневая,26б, г.Ростов-на-Дону,стор.</t>
  </si>
  <si>
    <t>Г-ввод СНТ Задонье,121/13,ст.Ольгинская,Аксайский р-н,стор.</t>
  </si>
  <si>
    <t>Г-ввод СНТ Защитник,13/23, г.Ростов-на-Дону,стор.</t>
  </si>
  <si>
    <t>Г-ввод СНТ Защитник,6/10,г.Ростов-на-Дону,стор.</t>
  </si>
  <si>
    <t>Г-ввод СНТ Инициативный,120,г.Ростов-на-Дону,стор.</t>
  </si>
  <si>
    <t>Г-ввод СНТ Инициативный,122, КН 61:44:0030606:657, г.Ростов-на-Дону,стор.</t>
  </si>
  <si>
    <t>Г-ввод СНТ Инициативный,122, КН 61:44:0030606:658, г.Ростов-на-Дону,стор.</t>
  </si>
  <si>
    <t>Г-ввод СНТ Инициативный,298, г.Ростов-на-Дону, к ГНД СНТ Инициативный, г.Ростов-на-Дону, стор</t>
  </si>
  <si>
    <t>Г-ввод СНТ Ириния,51, г.Ростов-на-Дону,стор.</t>
  </si>
  <si>
    <t>Г-ввод СНТ Мечта, уч 9а,г.Ростов-на-Дону,стор.</t>
  </si>
  <si>
    <t>Г-ввод СНТ Урожай, уч-к 2-42 к.н. 61:44:0082612:136,г.Ростов-на-Дону,стор.</t>
  </si>
  <si>
    <t>Г-ввод ст Вива Виктория,29, г.Ростов-на-Дону, стор.</t>
  </si>
  <si>
    <t>Г-ввод ст Дружба,кн.61:44:0061602:1490, г.Ростов-на-Дону,стор.</t>
  </si>
  <si>
    <t>Г-ввод ст Дружба,кн.61:44:0061602:1491, г.Ростов-на-Дону,стор.</t>
  </si>
  <si>
    <t>Г-ввод СТ Космос,284, г.Ростов-на-Дону, стор.</t>
  </si>
  <si>
    <t>Г-ввод ст Урожай,3-44,кн.61:44:0082612:1681, г.Ростов-на-Дону,стор.</t>
  </si>
  <si>
    <t>Г-ввод ст Урожай,уч-к 8-02, г.Ростов-на-Дону, стор.</t>
  </si>
  <si>
    <t>Г-ввод СТ Факел-2, уч-к 35,г.Ростов-на-Дону,стор.</t>
  </si>
  <si>
    <t>Г-ввод ул.1-я Круговая,50,г.Ростов-на-Дону,стор.</t>
  </si>
  <si>
    <t>Г-ввод ул.1-я Родниковая,17, ДНТ Гамма-Труд, к ПГНД ул.8-я Престижная,г.Ростов-на-Дону, стор.</t>
  </si>
  <si>
    <t>Г-ввод ул.1-я Союзная,37, г.Ростов-на-Дону, стор.</t>
  </si>
  <si>
    <t>Г-ввод ул.1-я Союзная,63, СНТ Союз, уч-к 361, г.Ростов-на-Дону,стор.</t>
  </si>
  <si>
    <t>Г-ввод ул.14-я Линия,84,г.Ростов-на-Дону, к ГСД ул. 14-я Линия,г.Ростов-на-Дону,аренда</t>
  </si>
  <si>
    <t>Г-ввод ул.2 Поселковый,1В,г.Ростов-на-Дону к НГНД диам.57мм г.Ростов-на-Дону, аренда</t>
  </si>
  <si>
    <t>Г-ввод ул.2-я Авиапромовская,9, г.Ростов-на-Дону, стор.</t>
  </si>
  <si>
    <t>Г-ввод ул.2-я Арсенальная,22/40,г.Ростов-на-Дону, к ГНД ер с/т Авангард-3, г.Ростов-на-Дону, стор.</t>
  </si>
  <si>
    <t>Г-ввод ул.2-я Бежевая,7, СНТ Донподход,г.Ростов-на-Дону,стор.</t>
  </si>
  <si>
    <t>Г-ввод ул.2-я линия,20,ДНТ Гамма-Труд, г.Ростов-на-Дону, стор.</t>
  </si>
  <si>
    <t>Г-ввод ул.2-я Обзорная,6, ДНТ Сирень, уч-к 256, г.Ростов-на-Дону, стор.</t>
  </si>
  <si>
    <t>Г-ввод ул.2-я Процветания,34,г.Ростов-на-Дону, стор.</t>
  </si>
  <si>
    <t>Г-ввод ул.2-я Романтическая,69/10,СНТ Донпоходг.Ростов-на-Дону, стор.</t>
  </si>
  <si>
    <t>Г-ввод ул.2-я Спасская,14,г.Ростов-на-Дону,стор.</t>
  </si>
  <si>
    <t>Г-ввод ул.20-я Улица,39,г.Ростов-на-дону к ПГНД ул. 20-я Улица,3-й Переулок, г.Ростов-на-Дону,аренда</t>
  </si>
  <si>
    <t>Г-ввод ул.21-я линия,29, г.Ростов-на-Дону, к ГНД ул. 21-я Линия,г.Ростов-на-Дону,аренда</t>
  </si>
  <si>
    <t>Г-ввод ул.3-я Кольцевая,9а, г.Ростов-на-Дону к ПГНД по ул. 3-я Кольцевая, аренда</t>
  </si>
  <si>
    <t>Г-ввод ул.3-я Турнирная,68, снт Братство,231, г.Ростов-на-Дону,стор.</t>
  </si>
  <si>
    <t>Г-ввод ул.30-летия Октября, 91В, г.Ростов-на-Дону, стор.</t>
  </si>
  <si>
    <t>Г-ввод ул.37 линия,95, нежилое здание, Олейников Р.В. к ГСД по ул.Богданова,Ростов-на-Дону, аренда</t>
  </si>
  <si>
    <t>Г-ввод ул.4-я Городецкая,22, г.Ростов-на-Дону,стор.</t>
  </si>
  <si>
    <t>Г-ввод ул.4-я Ненаглядная,27, СНТ Защитник,21/40,г.Ростов-на-Дону,стор.</t>
  </si>
  <si>
    <t>Г-ввод ул.45-я Линия,20, г.Ростов-на-Дону, к ГСД ул.45-я Линия, г.Ростов-на-Дону, аренда</t>
  </si>
  <si>
    <t>Г-ввод ул.5-й Касательный,34, снт Инициативный,221, г.Ростов-на-Дону,стор.</t>
  </si>
  <si>
    <t>Г-ввод ул.6-я Процветания,31,СНТ "Урожай"г.Ростов-на-Дону к ГНД по тер."Урожай" , аренда</t>
  </si>
  <si>
    <t>Г-ввод ул.7-я Ненаглядная,4, г.Ростов-на-Дону,стор.</t>
  </si>
  <si>
    <t>Г-ввод ул.7-я Турнирная,39,г.Ростов-на-Дону,стор.</t>
  </si>
  <si>
    <t>Г-ввод ул.Амбулаторная,123, г.Ростов-на-Дону, ул.Амбулаторная,г.Ростов-на-Дону, стор.</t>
  </si>
  <si>
    <t>Г-ввод ул.Белорусская,159,г.Ростов-на-Дону,стор.</t>
  </si>
  <si>
    <t>Г-ввод ул.Вавилова,68, г.Ростов-на-Дону,к ГСД ул.Днепроградская,г.Ростов-на-Дону,аренда</t>
  </si>
  <si>
    <t>Г-ввод ул.Волкова,5в,г.Ростов-на-Дону,ПГНД ул.Волкова,5-7,г.Ростов-на-Дону,аренда</t>
  </si>
  <si>
    <t>Г-ввод ул.Вятская, к.н. 61:44:0021613:10,г.Ростов-на-Дону,стор.</t>
  </si>
  <si>
    <t>Г-ввод ул.Галактическая,23, г.Ростов-на-Дону, к ПГСД ул.Галактическая, г.Ростов-на-Дону, стор.</t>
  </si>
  <si>
    <t>Г-ввод ул.Гераневая,31/21,г.Ростов-на-Дону к ПГСД ул.Гераневая,г.Ростов-на-Дону,стор.</t>
  </si>
  <si>
    <t>Г-ввод ул.Гостеприимная,8, ДНТ Исток,94, г.Ростов-на-Дону,стор.</t>
  </si>
  <si>
    <t>Г-ввод ул.Гранитная,20,х.Камышеваха к ГНД по ул.Гранит,х.Камышев,Аксайский р-н,аренда</t>
  </si>
  <si>
    <t>Г-ввод ул.Гранитная,62/4, г.Ростов-на-Дону, к РГНД ул.Гранитная,г.Ростов-на-Дону, аренда</t>
  </si>
  <si>
    <t>Г-ввод ул.Димитрова,63,г.Ростов-на-Дону к ПГСД ул.Димитрова,г.Ростов-на-Дону,аренда</t>
  </si>
  <si>
    <t>Г-ввод ул.Днепропетровская,50Д,г.Ростов-на-Дону, заявитель Скибенко В.П.</t>
  </si>
  <si>
    <t>Г-ввод ул.Доватора, кад.№61:44:0070502:19,г.Ростов-на-Дону г.ГНД по ул.Доватора, г.Ростов-,аренда</t>
  </si>
  <si>
    <t>Г-ввод ул.Доватора, ком.зона р-на Левенцовка, к ПГСД ул.Доватора,г.Ростов-на-Дону,аренда</t>
  </si>
  <si>
    <t>Г-ввод ул.Доватора,71б,г.Ростов-на-Дону,стор.</t>
  </si>
  <si>
    <t>Г-ввод ул.Екатерининская,27,п.Темерницкий,Аксайский р-н,стор.</t>
  </si>
  <si>
    <t>Г-ввод ул.Еремеко,56д,г.Ростов-на-Дону, к ПГСД ул.Доватора,г.Ростов-на-Дону,аренда</t>
  </si>
  <si>
    <t>Г-ввод ул.Жавель,44, х.Камышеваха,Аксайский р-н, стор.</t>
  </si>
  <si>
    <t>Г-ввод ул.Задонская,3а, г.Ростов-на-Дону, к РГНД ул.Нозадзе, г.Ростов-на-Дону, аренда</t>
  </si>
  <si>
    <t>Г-ввод ул.Зерноградская,37,г.Рстов-на-Дону, к ГНД ул.Зерноградская, г.Ростов-на-Дону, стор.</t>
  </si>
  <si>
    <t>Г-ввод ул.Инициативная,12, г.Ростов-на-Дону к ПГНД по ул.Инициативная, аренда</t>
  </si>
  <si>
    <t>Г-ввод ул.Калиновская,15, г.Ростов-на-Дону к ПГНД ул.Калиновская, г.Ростов-на-Дону, аренда</t>
  </si>
  <si>
    <t>Г-ввод ул.Катаева,233а,г.Ростов-на-Дону к НГНД ул.Катаева,г.Ростов-на-Дону,аренда</t>
  </si>
  <si>
    <t>Г-ввод ул.Катаева,289,г.Ростов-на-Дону к ПГНД ул.Катаева,г.Ростов-на-Дону,аренда</t>
  </si>
  <si>
    <t>Г-ввод ул.Каширская,8В,г.Ростов-на-Дону г.ГНД ул.ул.Каширскаяя,г.Ростов-на-Дону,аренда</t>
  </si>
  <si>
    <t>Г-ввод ул.Кишиневская,28А,г.Ростов-на-Дону,стор.</t>
  </si>
  <si>
    <t>Г-ввод ул.Книжная,111,г.Ростов-на-Дону к ГНД ул.Книжная,г.Ростов-на-Дону, аренда</t>
  </si>
  <si>
    <t>Г-ввод ул.Книжная,260А,г.Ростов-на-Дону к РГНД ул.Книжная, г.Ростов-на-Дону, аренда</t>
  </si>
  <si>
    <t>Г-ввод ул.Комсомольская,88/5А, г.Ростов-на-Дону к ГСД по ул. 45-яЛиния, аренда</t>
  </si>
  <si>
    <t>Г-ввод ул.Кооперативная,12А,г.Ростов-на-Дону,ПГНД ул.Кооперат,г.Ростов-на-Дону,аренда</t>
  </si>
  <si>
    <t>Г-ввод ул.Космическая,17,г.Ростов-на-Дону,стор.</t>
  </si>
  <si>
    <t>Г-ввод ул.Кржижановского,245 к РГНД ул.Кржижановского,г.Ростов-на-Дону,аренда</t>
  </si>
  <si>
    <t>Г-ввод ул.Кристальная,14, к.н. 61:02:0600010:11496,х.Камышеваха,Аксайский р-н,стор.</t>
  </si>
  <si>
    <t>Г-ввод ул.Курортная,106/52,г.Ростов-на-Дону,стор.</t>
  </si>
  <si>
    <t>Г-ввод ул.Курортная,119/54,г.Ростов-на-Дону,стор.</t>
  </si>
  <si>
    <t>Г-ввод ул.Курортная,41а,г.Ростов-на-Дону,к ПГНД ул.Горбачева,г.Ростов-на-Дону,аренда</t>
  </si>
  <si>
    <t>Г-ввод ул.Курортная,97/1,г.Ростов-на-Дону,стор.</t>
  </si>
  <si>
    <t>Г-ввод ул.Лазуритовая,44п.Камышеваха,Аксайский р к ПГСД п. Камышеваха,аренда</t>
  </si>
  <si>
    <t>Г-ввод ул.Латунева,13/37, х.Камышеваха,Аксайский р-н, стор.</t>
  </si>
  <si>
    <t>Г-ввод ул.Левобережная,17А г.Ростов-на-Дону к ГСД по ул.Левобережная,г.ростов-на-Дону,аренда</t>
  </si>
  <si>
    <t>Г-ввод ул.Левобережная,2, СНТ Задонье, уч-к 157/3, ст.Ольгинская,Аксайский р-н,стор.</t>
  </si>
  <si>
    <t>Г-ввод ул.Левобережная,2, СНТ Задонье, уч-к 440/3, ст.Ольгинская,Аксайский р-н,стор.</t>
  </si>
  <si>
    <t>Г-ввод ул.Левобережная,2, СНТ Задонье,уч-к 153, кв.1, ст.Ольгинская,Аксайский р-н,стор.</t>
  </si>
  <si>
    <t>Г-ввод ул.Левобережная,2, уч.99,с/т Задонье,ст.Ольгинская к НГНД ст.Ольгинская,Аксайский р-н, аренда</t>
  </si>
  <si>
    <t>Г-ввод ул.Левобережная,4, ст Донское, 2-я линия, уч-к 17, ст.Ольгинская,Аксайский р-н ,стор.</t>
  </si>
  <si>
    <t>Г-ввод ул.Левобережная,4, ст Донское, уч-к 17, ст.Ольгинская,Аксайский р-н ,стор.</t>
  </si>
  <si>
    <t>Г-ввод ул.Левобережная,4, ст.Донское, уч-к 785, ст.Ольгинская,Аксайский р-н, стор.</t>
  </si>
  <si>
    <t>Г-ввод ул.Левобережная,6 г.Ростов-на-Дону к ГСД по ул.Левобережная,г.ростов-на-Дону,аренда</t>
  </si>
  <si>
    <t>Г-ввод ул.Ленина,161/2,г.Ростов-на-Дону к ГНД по ул.Ленина,г.ростов-на-Дону,аренда</t>
  </si>
  <si>
    <t>Г-ввод ул.Лермонтовская,111,г.Ростов-на-Дону к РГСД пер.Газетный,Ростов-на-Дону, аренда</t>
  </si>
  <si>
    <t>Г-ввод ул.Линейная,110,г.Ростов-на-Дону,стор.</t>
  </si>
  <si>
    <t>Г-ввод ул.Литейная,20, х.Камышеваха,Аксайский р-н, стор.</t>
  </si>
  <si>
    <t>Г-ввод ул.Литовская,40,38,г.Ростов-на-Дону,стор.</t>
  </si>
  <si>
    <t>Г-ввод ул.Луговая,13,п. Водопадный,Аксайский р,стор.</t>
  </si>
  <si>
    <t>Г-ввод ул.Магнитогорская,4а,г.Ростов-на-Дону,стор.</t>
  </si>
  <si>
    <t>Г-ввод ул.Мадояна,110/12,г.Ростов-на-Дону,стор.</t>
  </si>
  <si>
    <t>Г-ввод ул.Мадояна,45А/25,г.Ростов-на-Дону к ГНД ул.Мадояна,г.Ростов-на-Дону,аренда</t>
  </si>
  <si>
    <t>Г-ввод ул.Мадояна,58В, г.Ростов-на-Дону к РГ по пер. Вагайский, аренда</t>
  </si>
  <si>
    <t>Г-ввод ул.Малахитовая,11,х.Камышеваха, к ПГСД пер.Хрустальный,х.Камышеваха, Аксайский р-н, стор.</t>
  </si>
  <si>
    <t>Г-ввод ул.Механизаторов,13,г.Ростов-на-Дону, к ГСД ул.Механизаторов,г.Ростов-на-Дону,аренда</t>
  </si>
  <si>
    <t>Г-ввод ул.Мечникова,130,г.Ростов-на-Дону к ПГНД ул.Дранко,Ростов-на-Дону, аренда</t>
  </si>
  <si>
    <t>Г-ввод ул.Мечникова,75,г.Ростов-на-Дону к ПГНД ул.Мечникова,Ростов-на-Дону, аренда</t>
  </si>
  <si>
    <t>Г-ввод ул.Милая,37, г.Ростов-на-Дону,стор.</t>
  </si>
  <si>
    <t>Г-ввод ул.Миронова,2Е,г.Ростов-на-Дону,ГНД ул.Лелюшенко,г.Ростов-на-Дону,аренда</t>
  </si>
  <si>
    <t>Г-ввод ул.Московская,38,п.Темерницкий к ПГНД ул.Раздольной,п.Темерницкий,Аксайский р-н, стор.</t>
  </si>
  <si>
    <t>Г-ввод ул.Мраморная,9, х.Камышеваха,Аксайский р-н, стор.</t>
  </si>
  <si>
    <t>Г-ввод ул.Мурманская,80,г.Ростов-на-Дону к ГНД по ул.Мурманской,г.Ростов-на-Дону,аренда</t>
  </si>
  <si>
    <t>Г-ввод ул.Нансена,255/1, г.Ростов-на-Дону,к ПГНД пер.Казахстанскому,г.Ростов-на-Дону,аренда</t>
  </si>
  <si>
    <t>Г-ввод ул.Народного Ополчения,156, г.Ростов-на-Дону к ПГНД по ул.Народного Ополчения, аренда</t>
  </si>
  <si>
    <t>Г-ввод ул.Орбитальная,3е,г.Ростов-на-Дону, стор.</t>
  </si>
  <si>
    <t>Г-ввод ул.Ореховая,22,п.Темерницкий,Аксайский р-н,стор.</t>
  </si>
  <si>
    <t>Г-ввод ул.Павлодарская,8, г.Ростов-на-Дону, к ГНД ул.Павлодарская,г.Ростов-на-Дону,аренда</t>
  </si>
  <si>
    <t>Г-ввод ул.Петровская/пер.Кольцовский,26/8, г.Ростов-на-Дону к ГНД по пер. Университетеский,аренда</t>
  </si>
  <si>
    <t>Г-ввод ул.Печенежская,29,г.Ростов-на-Дону,к ПГНД ул.Печенежская,29, г.Ростов-на-Дону,стор.</t>
  </si>
  <si>
    <t>Г-ввод ул.Подтелкова,15,г.Ростов-на-Дону,стор.</t>
  </si>
  <si>
    <t>Г-ввод ул.Полторацкого,96а,г.Ростов-на-Дону г.ГНД ул.Полторацкого,96а,г.Ростов-на-Дону,аренда</t>
  </si>
  <si>
    <t>Г-ввод ул.Пороховая Балка,2А,г.Аксай, к ГНД ул.Пороховая Балка,2А,г.Аксай,Аксайский р-н, стор.</t>
  </si>
  <si>
    <t>Г-ввод ул.Портовая,63,г.Ростов-на-Дону,стор.</t>
  </si>
  <si>
    <t>Г-ввод ул.Профсоюзная,34,г.Ростов-на-Дону, к ПГНД ул.Профсоюзная,г.Ростов-на-Дону,аренда</t>
  </si>
  <si>
    <t>Г-ввод ул.Радищева,54, г.Ростов-на-Дону, к ГНД ул.Радищева,г.Ростов-на-Дону,аренда</t>
  </si>
  <si>
    <t>Г-ввод ул.Рубиновая,11/2,х.Камышеваха к ПГНД по ул.Рубиновая,х.Камышеваха,Аксайский р-н, аренда</t>
  </si>
  <si>
    <t>Г-ввод ул.Рыцарская,116,г.Ростов-на-Дону к ПГНД по ул.Рыцарская, стор</t>
  </si>
  <si>
    <t>Г-ввод ул.Сапфировая,26,х.Камышеваха кПГНД по ул.Сапфировая,х.Камышеваха,Аксайский р-н,аренда</t>
  </si>
  <si>
    <t>Г-ввод ул.Седова,6/3, г.Ростов-на-Дону, к ГНД ул.Седова,г,Ростов-на-Дону,аренда</t>
  </si>
  <si>
    <t>Г-ввод ул.Скифская,44/51, г.Ростов-на-Дону,стор.</t>
  </si>
  <si>
    <t>Г-ввод ул.Совхозная,39Г,п.Водопадный,АСксайский р, стор.</t>
  </si>
  <si>
    <t>Г-ввод ул.Солидарности,132/19,заявитель Кириченко В.В., к ГНД пер.М.Расковой,г.Ростов-на-Дону,аренда</t>
  </si>
  <si>
    <t>Г-ввод ул.Солидарности,144/21а,г.Ростов-на-Дону, к ГНД пер.Конный,г.Ростов-на-Дону,аренда</t>
  </si>
  <si>
    <t>Г-ввод ул.Солидарности,90/30,г.Ростов-на-Дону к ГНД по ул. Солидарности,аренда</t>
  </si>
  <si>
    <t>Г-ввод ул.Солнечная,10, п.Водопадный,Аксайский р-н, стор.</t>
  </si>
  <si>
    <t>Г-ввод ул.Спелая,4а,ДНТ Садовод-Любитель,г.Ростов-на-Дону, стор.</t>
  </si>
  <si>
    <t>Г-ввод ул.Ст.Советов,9б, г.Ростов-на-Дону к ГСД по ул. Страны Советов, аренда</t>
  </si>
  <si>
    <t>Г-ввод ул.Стрелковая,34,г.Ростов-на-Дону к ГСД по ул.Стрелковая,г.Ростов-на-Дону,аренда</t>
  </si>
  <si>
    <t>Г-ввод ул.Судостроительная,23/40, г.Ростов-на-Дону, к ПГНД ул.Сейнерная, г.Ростов-на-Дону, аренда</t>
  </si>
  <si>
    <t>Г-ввод ул.Таймырская,34-36,х.Камышеваха,Аксайский р-н,стор.</t>
  </si>
  <si>
    <t>Г-ввод ул.Текстильная,23, СНТ Союз, к ПГНД ул.Текстильная,СНТ Союз, г.Ростов-на-Дону, стор.</t>
  </si>
  <si>
    <t>Г-ввод ул.Текучева,174/99,г.Ростов-на-Дону к РГНД ул.Текучева,г.Ростов-на-Дону,аренда</t>
  </si>
  <si>
    <t>Г-ввод ул.Тибетская,136/2,г.Ростов-на-Дону,стор.</t>
  </si>
  <si>
    <t>Г-ввод ул.Тибетская,53а,г.Ростов-на-Дону,к ПГНД, ул. Зерноградская,аренда</t>
  </si>
  <si>
    <t>Г-ввод ул.Тимошенко,7, г.Ростов-на-Дону,стор.</t>
  </si>
  <si>
    <t>Г-ввод ул.Тракторная,50М,г.Ростов-на-Дону, стор.</t>
  </si>
  <si>
    <t>Г-ввод ул.Федоровская,20, п.Темерницкий,Аксайский р-н,стор.</t>
  </si>
  <si>
    <t>Г-ввод ул.Финишная,3,г.Ростов-на-Дону г.ПГНД ул.Финишная,г.Ростов-на-Дону,аренда</t>
  </si>
  <si>
    <t>Г-ввод ул.Ц.Кунникова,9/29,г.Ростов-на-Дону к РГНД по ул.Ц.Кунникова, аренда</t>
  </si>
  <si>
    <t>Г-ввод ул.Ченцова,40, г.Ростов-на-Дону к ПГСД ул.Ченцова,г.Ростов-на-Дону, аренда</t>
  </si>
  <si>
    <t>Г-ввод ул.Черевичкина,106/2,г.Ростов-на-Дону к ГСД по ул.Черевичкина,г.Ростов-на-Дону, аренда</t>
  </si>
  <si>
    <t>Г-ввод ул.Чкалова,24,г.Ростов-на-Дону к ПГНД по ул. Чкалова, аренда</t>
  </si>
  <si>
    <t>Г-ввод ул.Ю-Восточная Промзона,уч.17,г.Ростов-на-Дону к ГСД по пер.1-й Машиностроительный, аренда</t>
  </si>
  <si>
    <t>Г-ввод х.Камышеваха,поле 42б,Аксайский район к.н.61:02:0600010:11319 к ГНД х. Камышеваха,аре аренда</t>
  </si>
  <si>
    <t>Г-вод пер.1-й Атмосферный,5,г.Ростов-на-Дону к ПГНд ул.Космическая,г.Ростов-на-Дону,аренда</t>
  </si>
  <si>
    <t>ПАО "Газпром газораспределение Ростов-на-Дону" в г.Ростов-на-Дону</t>
  </si>
  <si>
    <t xml:space="preserve"> ПАО "Газпром газораспределение Ростов-на-Дону"  в п. Орловском</t>
  </si>
  <si>
    <t>Г-ввод пер.Жлобинский,8,г.Ростов-на-Дону к ГСД по пер.Жлобинский,Ростов-на-Дону, аренда</t>
  </si>
  <si>
    <t>Г-ввод пер.Изумрудный,27,х.Камышеваха к ПГНДпо пер.Изумрудный,Камышеваха,Аксайский р-н, аренда</t>
  </si>
  <si>
    <t>Г-ввод пер.Крепостной,44,г.Ростов-на-Дону к ГНД пер.Крепостной,94,г.Ростов-на-Дону,аренда</t>
  </si>
  <si>
    <t>Г-ввод пер.Малый,23А,г.Ростов-на-Дону к ПГНД по пер.Малый, г.Ростов-на-Дону, аренда</t>
  </si>
  <si>
    <t>Г-ввод пер.Санаторный,6А,г.Ростов-на-Дону к ПГСД по пер.Санаторный, аренда</t>
  </si>
  <si>
    <t>Г-ввод пер.Тебердинский,36,г.Ростов-на-Дону г.ГНД пер.Тебердинский,г.Ростов-на-Дону,аренда</t>
  </si>
  <si>
    <t>Г-ввод пр.М.Нагибина,41, г.Ростов-на-Дону к ПГНД по пр.М.Нагибина, аренда</t>
  </si>
  <si>
    <t>Г-ввод пр.Ставского-ул.Профсоюзная,г.Ростов-на-Дону к ПГНД диам.57мм,пр20,2пм.по ул.Ставского,аренда</t>
  </si>
  <si>
    <t>ПГСД пр.Стачки,28,г.Ростов-на-Дону, аренда</t>
  </si>
  <si>
    <t>Г-ввод пр.Стачки,342,г.Ростов-на-Дону к ПГНД по пр.Стачки, г.Ростов-на-Дону,аренда</t>
  </si>
  <si>
    <t>Г-ввод ул.1-я Майская,5/9, г.Ростов-на-Дону к ПРГНД по ул.18-я Линия,г.Ростов-на-Дону, аренда</t>
  </si>
  <si>
    <t>Г-ввод ул.20-я Улица,64-66,г.Ростов-на-Дону к ГНД по ул.20-я Улица, г.Ростов-на-Дону, аренда</t>
  </si>
  <si>
    <t>Г-ввод ул.Береговая,37/1,г.Ростов-на-Дону к ПГСД диам.76мм по ул.Береговая,г.Ростов-н/Д,аренда</t>
  </si>
  <si>
    <t>Г-ввод ул.Береговая,59,г.Ростов-на-Дону к ГНД ул.Береговая,г.Ростов-на-Дону,аренда</t>
  </si>
  <si>
    <t>Г-ввод ул.Вавилова,71 Д/1,г.Ростов-на-Дону к ПГСД в г.Ростове-на-Дону по ул.Вавилова, аренда</t>
  </si>
  <si>
    <t>Г-ввод ул.Калиновская,55,г.Ростов-на-Дону к ПГНД по ул.Калиновская,Ростов-на-Дону, аренда</t>
  </si>
  <si>
    <t>Г-ввод ул.Магнитогорская,30а,г.Ростов-на-Дону к ПГСД по пер.Валуйский,г.ростов-на-Дону,аренда</t>
  </si>
  <si>
    <t>Г-ввод ул.Механизаторов,8А, г.Ростов-на-Дону к ПГСД по ул.Механизаторов,8 и Конституционной, аренда</t>
  </si>
  <si>
    <t>Г-ввод ул.Очаковская,88,г.Ростов-на-Дону к ГНД ул.Очаковская,г.Ростов-на-Дону,аренда</t>
  </si>
  <si>
    <t>Г-ввод ул.Портовая,257/27,г.Ростов-на-Дону г.ГНД ул.Портовая,г.Ростов-на-Дону,аренда</t>
  </si>
  <si>
    <t>Г-ввод ул.Серова,18а,г.Ростов-на-Дону к ГНД по ул.Серова,г.Ростов-на-Дону,аренда</t>
  </si>
  <si>
    <t>Г-ввод ул.Стрелковая,40А,г.Ростов-на-Дону к ПГНД д. до90мм по ул.Стрелковая,г.Ростов-на-Дону,аренда</t>
  </si>
  <si>
    <t>Г-ввод ул.Стрелковая,42,г.Ростов-на-Дону к ПГСД по ул.Стрелковая, г.Ростов-на-Дону, аренда</t>
  </si>
  <si>
    <t>Г-ввод ул.Текучева,113,г.Ростов-на-Дону г.ГНД ул.Текучева,г.Ростов-на-Дону,аренда</t>
  </si>
  <si>
    <t>Г-ввод ул.Греческая,92-4,г.Таганрог к ГНД 21198м.А.Глушко, г.Таганрог,аренда</t>
  </si>
  <si>
    <t>Г-ввод ул.Западная,30-а,с.Самбек к ПГ с.Самбек,улЦентр,Морск,Подгор,Берег, Неклиновский р-н,аренда</t>
  </si>
  <si>
    <t>Г-ввод ул.Ленина,2-в,с.Троицкое,к ПГ от АГРС с.Троиц.молоч.комплекс,ул.Строит.Неклиновкий.р-н,аренда</t>
  </si>
  <si>
    <t>Г-ввод ул.Морская,41южная часть села Самбек,ПГ с.Самбек,х.Курлацкий от АГРС, Неклиновский р-н,аренда</t>
  </si>
  <si>
    <t>ГВД п.Магистральный, ул.Красноармейская, п.Орловский, инв.000013180</t>
  </si>
  <si>
    <t>ГСНД ст. Буденновская, Пролетарского района, инв.00013045</t>
  </si>
  <si>
    <t>ТП (телеметрия)  ГРП №2,ул.Комсомольская,51,с.Александровка,Мясниковский р-н</t>
  </si>
  <si>
    <t>ТП (телеметрия)  ГРП №32,пр.Платовский,2,г.Новочеркасск</t>
  </si>
  <si>
    <t>ТП (телеметрия)  ГРП №46,пер.Цимлянский,г.Новочеркасск</t>
  </si>
  <si>
    <t>ТП (телеметрия)  ГРП №87,ул.Булавина,г.Новочеркасск</t>
  </si>
  <si>
    <t>ТП (телеметрия)  ГРПБ №1/1, Новоалександровка, промзона, Азовский р-н</t>
  </si>
  <si>
    <t>ТП (телеметрия)  ГРПШ №101, ул.Центральная,Молодежная,х.Железнодорожный, Цимлянский р-н</t>
  </si>
  <si>
    <t>ТП (телеметрия)  ГРПШ №108,ул.Главная,14, х.Богатырев, Цимлянский р-н</t>
  </si>
  <si>
    <t>ТП (телеметрия)  ГРПШ №110, ул.Речная,1, ст.Новоцимлянская, Цимлянский р-н</t>
  </si>
  <si>
    <t>ТП (телеметрия)  ГРПШ №111, ул.Театральная,2, ст.Новоцимлянская, Цимлянский р-н</t>
  </si>
  <si>
    <t>ТП (телеметрия)  ГРПШ №124, центральная бригада №4, х.Карповский,Цимлянский р-н</t>
  </si>
  <si>
    <t>ТП (телеметрия)  ГРПШ №16, ул.Гагарина, г.Волгодонск</t>
  </si>
  <si>
    <t>ТП (телеметрия)  ГРПШ №218, х.Новополтавский, Азовский р-н</t>
  </si>
  <si>
    <t>ТП (телеметрия)  ГРПШ-13-2Н-У1 ул.Гагарина,44, г.Гуково</t>
  </si>
  <si>
    <t>ТП (телеметрия)  ГРПШ-13-2Н-У1 ул.Криворожская,48, г.Гуково</t>
  </si>
  <si>
    <t>ТП (телеметрия)  ГРПШ-13-2Н-У1 ул.Мира,3, г.Гуково</t>
  </si>
  <si>
    <t>ТП (телеметрия)  ГРПШ-13-2Н-У1 ул.Семилетки,12, г.Гуково</t>
  </si>
  <si>
    <t>ТП (телеметрия)  ГСГО-00, ул.Переездная,56, г.Гуково</t>
  </si>
  <si>
    <t>ТП (телеметрия)  ШРП №106,пер.Одесский, х.Татарка,г.Новочеркасск</t>
  </si>
  <si>
    <t>ТП (телеметрия)  ШРП №113,ст.Бессергеневская,Октябрьский р-н</t>
  </si>
  <si>
    <t>ТП (телеметрия)  ШРП №131,ст.Бессергеневская,Октябрьский р-н</t>
  </si>
  <si>
    <t>ТП (телеметрия)  ШРП №139,ул.Северная,ст.Заплавская,Октябрьский р-н</t>
  </si>
  <si>
    <t>ТП (телеметрия)  ШРП №140,ул.Северная,ст.Заплавская,Октябрьский р-н</t>
  </si>
  <si>
    <t>ТП (телеметрия)  ШРП №141,ул.Первомайская,Гаражный,ст.Заплавская,Октябрьский р-н</t>
  </si>
  <si>
    <t>ТП (телеметрия)  ШРП №164, ул.Коммунальная,х.Коньков, Боковский р-н</t>
  </si>
  <si>
    <t>ТП (телеметрия)  ШРП №2,ул.Совхозная,2, г.Ростов-на-Дону</t>
  </si>
  <si>
    <t>ТП (телеметрия)  ШРП №20,пер.1-й Колхозный, г.Ростов-на-Дону</t>
  </si>
  <si>
    <t>ТП (телеметрия)  ШРП №474, ул.Калинина, около столовой, х.Красный Кут, Октябрьский р-н</t>
  </si>
  <si>
    <t>ТП (телеметрия)  ШРП №559, ул.Школьная, возле школы, х.Верхнегрушевский, Октябрьский р-н</t>
  </si>
  <si>
    <t>ТП (телеметрия)  ШРП №569, ул.Каштановая,г.Шахты</t>
  </si>
  <si>
    <t>ТП (телеметрия)  ШРП №575, ул.Дачная,в поле ПКО, п.Привольный,Ремонтненский р-н</t>
  </si>
  <si>
    <t>ТП (телеметрия)  ШРП №661, пер.Почтовый, возле забора Биф-Агро, сл.Красюковская,Октябрьски й р-н</t>
  </si>
  <si>
    <t>ТП (телеметрия)  ШРП №685 поле, п.Каменоломни,Октябрьский р-н</t>
  </si>
  <si>
    <t>ТП (телеметрия)  ШРП №696, ул.Коммунальная,г.Шахты</t>
  </si>
  <si>
    <t xml:space="preserve">ТП (телеметрия)  ШРП №744, пер.Нагорный, п.Аюта, Октябрьский р-н </t>
  </si>
  <si>
    <t>ТП (телеметрия)  ШРП №759, пер.Студенческий,г.Шахты</t>
  </si>
  <si>
    <t>ТП (телеметрия)  ШРП №855, ул.Беломорская,г.Шахты</t>
  </si>
  <si>
    <t>ТП (телеметрия) 11 участок, с.Беглицкая Коса, Неклиновский р-н</t>
  </si>
  <si>
    <t>ТП (телеметрия) весовая,с.Ивановка, Неклиновский р-н</t>
  </si>
  <si>
    <t>ТП (телеметрия) водонапорная башня,с.Ново-Бессергеновка, Неклиновский р-н</t>
  </si>
  <si>
    <t>ТП (телеметрия) ГПРШ №223, ул.Молодежная, 1, х.Харьковский, Азовский р-н</t>
  </si>
  <si>
    <t>ТП (телеметрия) ГРП №31,пр.Платовский,2,г.Новочеркасск</t>
  </si>
  <si>
    <t>ТП (телеметрия) ГРПШ №255, пер.Дзержинского, Садовый, с.Семибалки, Азовский р-н</t>
  </si>
  <si>
    <t>ТП (телеметрия) ГРПШ №271, ул.Центральная, х.Чумбур-Коса, Азовский р-н</t>
  </si>
  <si>
    <t>ТП (телеметрия) ГРПШ №277, ул.Спортивная, с.Маргаритово, Азовский р-н</t>
  </si>
  <si>
    <t>ТП (телеметрия) ГРПШ №282, пер.Малый,Кубанский,с.Новомаргаритово, Азовский р-н</t>
  </si>
  <si>
    <t>ТП (телеметрия) ГРПШ №288,ул.Степная, с.Порт-Катон, Азовский р-н</t>
  </si>
  <si>
    <t>ТП (телеметрия) ГРПШ №31,ул.Азовская,на въезде, с.Васильево-Петровское, Азовский р-н</t>
  </si>
  <si>
    <t>ТП (телеметрия) ГРПШ №380, ул.Школьная, п.Семенкин, Волгодонской р-н</t>
  </si>
  <si>
    <t>ТП (телеметрия) ГРПШ №381, ул.Надежды, п.Сибирьковый, Волгодонской р-н</t>
  </si>
  <si>
    <t>ТП (телеметрия) ГРПШ №4, администрация, х.Рогожкино, Азовский р-н</t>
  </si>
  <si>
    <t>ТП (телеметрия) ГРПШ №56, ул.Лесная,ст.Лозновская, Цимлянский р-н</t>
  </si>
  <si>
    <t>ТП (телеметрия) ГРПШ №57, ул.Морская, х.Полушкино, Азовский р-н</t>
  </si>
  <si>
    <t>ТП (телеметрия) ГРПШ №60,ул.Полевая,х.Рынок-Кагальский, Цимлянский р-н</t>
  </si>
  <si>
    <t>ТП (телеметрия) ГРПШ №665, п.Саловский, Волгодонской р-н</t>
  </si>
  <si>
    <t>ТП (телеметрия) ГРПШ-05-2У1 ул.Мичурина,2, г.Гуково</t>
  </si>
  <si>
    <t>ТП (телеметрия) д.сад у котельной,с.Ново-Бессергеновка, Неклиновский р-н</t>
  </si>
  <si>
    <t>ТП (телеметрия) котельная рыбцеха,с.Приморка, Неклиновский р-н</t>
  </si>
  <si>
    <t>ТП (телеметрия) МЦВРИ с.Синявское, Неклиновский р-н</t>
  </si>
  <si>
    <t>ТП (телеметрия) олифоварка, х.Рожок, Неклиновский р-н</t>
  </si>
  <si>
    <t>ТП (телеметрия) ПК 40+15, с.Григорьевка, Матвеево-Курганский р-н</t>
  </si>
  <si>
    <t>ТП (телеметрия) пос.Первомайский, Красносулинский р-н</t>
  </si>
  <si>
    <t>ТП (телеметрия) с.Новостроенка, Неклиновский р-н</t>
  </si>
  <si>
    <t>ТП (телеметрия) СКЗ с. Сандата, Сальский р</t>
  </si>
  <si>
    <t>ТП (телеметрия) СКЗ ул. Комарова, п. Гигант, Сальский р</t>
  </si>
  <si>
    <t>ТП (телеметрия) СКЗ ул. Степная, п. Приречный, Сальский р</t>
  </si>
  <si>
    <t>ТП (телеметрия) СКЗ ул. Трактовая, п. Гигант, Сальский р</t>
  </si>
  <si>
    <t>ТП (телеметрия) СКЗ ул. Чижова-Королева, г. Пролетарск</t>
  </si>
  <si>
    <t>ТП (телеметрия) тер.ЗАО Сармат, с.Андреево-Мелентьево, Неклиновский р-н</t>
  </si>
  <si>
    <t>ТП (телеметрия) ТП №384, с.Большекирсаново, Матвеево-Курганский р-н</t>
  </si>
  <si>
    <t>ТП (телеметрия) у бригады с.Беглицкая Коса, Неклиновский р-н</t>
  </si>
  <si>
    <t>ТП (телеметрия) у сельмага, с.Боково, Неклиновский р-н</t>
  </si>
  <si>
    <t>ТП (телеметрия) у столовой, с.Носово, Неклиновский р-н</t>
  </si>
  <si>
    <t>ТП (телеметрия) у ТП х.Балка,пос.Ленинский, Матвеево-Курганский р-н</t>
  </si>
  <si>
    <t>ТП (телеметрия) у ТП, с.Николаевка, Неклиновский р-н</t>
  </si>
  <si>
    <t>ТП (телеметрия) у ШРП,сл.Советка, Неклиновский р-н</t>
  </si>
  <si>
    <t>ТП (телеметрия) ул.1-я Зверевская,х.Марс, Красносулинский р-н</t>
  </si>
  <si>
    <t>ТП (телеметрия) ул.81 МСБ- 50 лет ВЛКСМ, г.Пролетарск</t>
  </si>
  <si>
    <t>ТП (телеметрия) ул.Гагарина, бригада, х.Хапры, Мясниковский р-н</t>
  </si>
  <si>
    <t>ТП (телеметрия) ул.Котовского, г.Сальск</t>
  </si>
  <si>
    <t>ТП (телеметрия) ул.Ленина, с.Троицкое, Неклиновский р-н</t>
  </si>
  <si>
    <t>ТП (телеметрия) ул.Ленина,49,с.Новоотрадное, Неклиновский р-н</t>
  </si>
  <si>
    <t>ТП (телеметрия) ул.Молодежная,13,с.Васильево-Ханжоновка, Неклиновский р-н</t>
  </si>
  <si>
    <t>ТП (телеметрия) ул.Радужная,, 91, г.Волгодонск</t>
  </si>
  <si>
    <t>ТП (телеметрия) ул.Садовая,с.Бессергеновка, Неклиновский р-н</t>
  </si>
  <si>
    <t>ТП (телеметрия) ул.Севастопольская,СКЗ, г.Сальск</t>
  </si>
  <si>
    <t>ТП (телеметрия) ул.Степная,с.Лакедемоновка, Неклиновский р-н</t>
  </si>
  <si>
    <t>ТП (телеметрия) ул.Хорошилова,с.Ефремовка, Неклиновский р-н</t>
  </si>
  <si>
    <t>ТП (телеметрия) ул.Чижова, Скибы, г.Пролетарск</t>
  </si>
  <si>
    <t>ТП (телеметрия) ул.Энгельса,пер.Стахановский,с.Петрушино, Неклиновский р-н</t>
  </si>
  <si>
    <t xml:space="preserve">ТП (телеметрия) х.Александровка, Аксайский р-н </t>
  </si>
  <si>
    <t>ТП (телеметрия) холодильник, с.Золотая Коса, Неклиновский р-н</t>
  </si>
  <si>
    <t>ТП (телеметрия)ГРП ,30, ул. Северная, РОЖОК, Таганрог</t>
  </si>
  <si>
    <t>ТП (телеметрия)ГРПШ-07-2У1 ул.Лихачева,47 г.Гуково</t>
  </si>
  <si>
    <t>ТП (телеметрия)СКЗ Мариупольское шоссе,(кафе Медведи), Таганрог</t>
  </si>
  <si>
    <t>ТП (телеметрия)СКЗ ул. октябрьская (у магазина), с. Синявское,Неклиновский р</t>
  </si>
  <si>
    <t>ТП (телеметрия)ЭЗУ 1 , ул. Большая, х. Кривянский, Октябрьский р</t>
  </si>
  <si>
    <t>ТП (телеметрия)ЭЗУ, 241, ул. Садовая, г. Новочеркасск</t>
  </si>
  <si>
    <t>ТП (телеметрия)ЭЗУ, ст. Бессергеневская, Октябрьский р</t>
  </si>
  <si>
    <t>ТП (телеметрия)ЭЗУ, х. Яново-Грушевский, Октябрьский р-н</t>
  </si>
  <si>
    <t>ТП (телеметрия)ЭЗУ,ст. Кривянская ( у насосной водоканала), Октябрьский р</t>
  </si>
  <si>
    <t>ТП (телеметрия) ГРПШ №61, ул.Центральная,13, х.Карпов, Цимлянский р-н</t>
  </si>
  <si>
    <t>ПТ (телеметрия) ул.Дзержинского,11, с.Троицкое, Неклиновский р-н</t>
  </si>
  <si>
    <t>ГВД (рек) ст.Новозолотовская,Донские Зори, Семикаракорский р-н, инв.32-30273</t>
  </si>
  <si>
    <t>ГВД с ШРП п.Овощной,Азовский р-н</t>
  </si>
  <si>
    <t>ГВСД с ШРП п.Красный Сад, Азовский р-н</t>
  </si>
  <si>
    <t>МГВД х.Верхняковский,Михайловский,Верхнедонской р-н</t>
  </si>
  <si>
    <t>МГВД х.Хмызов,Малахов,Еритовка,Миллеровский р-н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</si>
  <si>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30.06.2018
</t>
  </si>
  <si>
    <t>Г-ввод ВД ул.Совхозная,32А,котельная,г.Ростов-на-Дону</t>
  </si>
  <si>
    <t>Г-ввод СД пр.Королева,1в для автосалона г.Ростов-на-Дону</t>
  </si>
  <si>
    <t>Г-ввод ул.Бакунина,21,г.Новочеркасск жилые дома</t>
  </si>
  <si>
    <t>Г-ввод ул.Дебальцевская,8А,комплекс жилых домов,г.Ростов-на-Дону</t>
  </si>
  <si>
    <t>Г-ввод ул.Ленина,5/1, многкварт.жил.дома, г.Аксай,Аксайский р-н</t>
  </si>
  <si>
    <t>Г-ввод ДНТ Ростсельмашевец-2, п.Ковалевка,Аксайский р-н</t>
  </si>
  <si>
    <t>Навесы для хранения материалов ул.Калинина,25,г.Белая Калитва</t>
  </si>
  <si>
    <t>ГНД (рек) вынос уч-ка г-да ул.Б.Куликова,г.Семикаракорск,инв.000013218</t>
  </si>
  <si>
    <t>ТП ГРПШ ул.Кирова,с.Николаевка,Песчанокопский р-н, инв.27-00130</t>
  </si>
  <si>
    <t>ТП ГРПШ ул.Московская,с.Летник, Песчаноковский р-н, инв.27-04098</t>
  </si>
  <si>
    <t>ТП ГРПШ ул.Советская,с.Красная Поляна, Песчанокопский р-н, инв.27-04112</t>
  </si>
  <si>
    <t>ТП зап.устр-во на ГВД от Сальской ГРС ул.Трактовая,1, г.Сальск, инв.31-03120</t>
  </si>
  <si>
    <t>Газопровод - ввод для подключения объекта: «Жилая застройка, по адресу: Ростовская область, Аксайский район, Большелогское сельское поселение</t>
  </si>
  <si>
    <t>Г-ввод в районе Объездного и ул. Московской ,г.Азов к ГНД по ул.Железнод. от ул.Тимирязева до заглушки в гАзове,аренда</t>
  </si>
  <si>
    <t>Г-ввод ДНТ Мичуринец-3, уч-к 2084,, г.Азов,стор.</t>
  </si>
  <si>
    <t>Г-ввод пер.Братский,58,с. Новобатайск Кагальницкий р р-н,стор.</t>
  </si>
  <si>
    <t>Г-ввод пер.Карьерный,22Б.г.Азов к ГНД ул.Нагорная,Красногор,г.Азов,аренда</t>
  </si>
  <si>
    <t>Г-ввод пер.Ленина,189,с.Самарское,к ГНД ул.Ленина,Северной,с.Самарское,Азовский р-н,аренда</t>
  </si>
  <si>
    <t>Г-ввод пер.Луговой,21А,х.Береговой,Азовский р-н,стор.</t>
  </si>
  <si>
    <t>Г-ввод пер.Молодежный,3,с.Самарское к РГНД ул.Юбилейная, Самара-нефть,Азовский р-н,аренда</t>
  </si>
  <si>
    <t>Г-ввод пер.Петровский,2,с.Самарское,ГНД ул.Строительная,пер.Кооперат, Азовский р-н,</t>
  </si>
  <si>
    <t>Г-ввод пер.Промышленный,73а с.Самарское,Азовский р-н,аренда</t>
  </si>
  <si>
    <t>Г-ввод пер.Солнечный,14,с.Самарское,РГНД ул.Строит,Коопер,с.Самарское,Азовский р-н,аренда</t>
  </si>
  <si>
    <t>Г-ввод пер.Солнечный,9А,с.Самарское,РГНД ул.Строит,Коопер,с.Самарское,Азовский р-н,аренда</t>
  </si>
  <si>
    <t>Г-ввод пер.Ткачевский,42,с. Новобатайск, Кагальницкий р-н, стор.</t>
  </si>
  <si>
    <t>Г-ввод СТ Дружба,71,г.Азов,стор.</t>
  </si>
  <si>
    <t>Г-ввод ул.60 лет Октября,51Б,х. Новоалександровка, Азовский р, аренда</t>
  </si>
  <si>
    <t>Г-ввод ул.Азовская,1 (маг),с.Кулешовка,к ГНД ул.Новая,пер.Дачный,с.Кулешовка,Азовский р-н,аренда</t>
  </si>
  <si>
    <t>Г-ввод ул.Аксайская,28 Б,ДНТ Луч,Азовский р-н,стор.</t>
  </si>
  <si>
    <t>Г-ввод ул.Буденного,138,х.Пешково,Азовский р-н,стор.</t>
  </si>
  <si>
    <t>Г-ввод ул.Весенняя,2А,с.Кулешовка,РГНД ул.Новая,пер.Дачный,ул.Красноарм,с.Кулешовка,Азовский р-н,аренда</t>
  </si>
  <si>
    <t>Г-ввод ул.Дружбы,42,г.Азов,к ГСД ул.Дружбы, котельная РСМ г.Азов,стор.</t>
  </si>
  <si>
    <t>Г-ввод ул.Есенина,22,п. Красный Сад,Азовский район, стор.</t>
  </si>
  <si>
    <t>Г-ввод ул.К.Маркса,54,с.Самарское,Азовский р-н, к ГНД пер.Первом,М.Горького,Бережной,с.Самарское,Азовский р-н,аренда</t>
  </si>
  <si>
    <t>Г-ввод ул.Кирова,11А,с.Новотроицкое,К ГНД ул.Кирова,с.Новотроицкое,Азовский р-н,аренда</t>
  </si>
  <si>
    <t>Г-ввод ул.Космонавтов,21,ДНТ Луч,Азовский р-н.стор.</t>
  </si>
  <si>
    <t>Г-ввод ул.Космонавтов,9,п.Койсуг,Азовский р-н,стор.</t>
  </si>
  <si>
    <t>Г-ввод ул.Ленина,29,с.Новониколаевка,Азовский р-н,стор.</t>
  </si>
  <si>
    <t>Г-ввод ул.Ленина,39А.п.Овощной,ГНД ул.Горького,Ленина,п.Овощной,Азовский р-н,аренда</t>
  </si>
  <si>
    <t>Г-ввод ул.Ленина,98А,с.Кагальник к РГНД по ул.Крупской от ул.Свободы по ул.Ленина,Азовский р,аренда</t>
  </si>
  <si>
    <t>Г-ввод ул.Луговая,27,с.Кочеванчик,Азовский р-н,стор.</t>
  </si>
  <si>
    <t>Г-ввод ул.М.Горького,703А,п.Койсуг, РГСД к центральной усадьбе п.Койсуг,Азовский р-н,аренда</t>
  </si>
  <si>
    <t>Г-ввод ул.Максима Горького,23А,п. Овощной,Азовский р-н, стор.</t>
  </si>
  <si>
    <t>Г-ввод ул.Мира,5,с.Займо-Обрыв,Азовский р-н,стор.</t>
  </si>
  <si>
    <t>Г-ввод ул.Морозовская,20,с.Новомаргаритово,Азовский р-н,стор.</t>
  </si>
  <si>
    <t>Г-ввод ул.Морская,11,х.Чумбур-Коса,Азовский р-н, стор.</t>
  </si>
  <si>
    <t>Г-ввод ул.Ореховая,27,г.Азов,стор.</t>
  </si>
  <si>
    <t>Г-ввод ул.Островского,4А,п.Овощной,к ГНД ул.Горького,Ленина,Кравченко,Азовский р-н,аренда</t>
  </si>
  <si>
    <t>Г-ввод ул.Приморская,102,с.Семибалки,Азовский р-н,стор.</t>
  </si>
  <si>
    <t>Г-ввод ул.Пушкина,21,х.Береговой,Азовский р-н,стор.</t>
  </si>
  <si>
    <t>Г-ввод ул.Российская,54,с.Кагальник,Азовский р-н,стор.</t>
  </si>
  <si>
    <t>Г-ввод ул.Ушакова,14,г.Азов,стор.</t>
  </si>
  <si>
    <t>Г-ввод ул.Чапаева,23,с.Головатовка,Азовский р-н,стор.</t>
  </si>
  <si>
    <t>Г-ввод ул.Школьная,9,с.Кагальник,Азовский р-н,стор.</t>
  </si>
  <si>
    <t>Г-ввод ул.Энгельса,96А,х.Пешково,Азовский р-н,стор.</t>
  </si>
  <si>
    <t>Г-ввод ул.Юбилейная,9,с.Самарское,Азовский р-н,стор.</t>
  </si>
  <si>
    <t>Г-ввод улАханова,9,х.Обуховка, Азовский р-н,стор.</t>
  </si>
  <si>
    <t>ГНД (зак) ул.Ленина от Кооперативной до пер. Рыбацкий с Кагальник,Азовский район, инв.000014451</t>
  </si>
  <si>
    <t>ГСНД с.Порт-Катон, Азовский р-н, инв.22-05879</t>
  </si>
  <si>
    <t>ГНД от № 71 до № 100/140 по ул.Подтелкова,  г.Аксай,инв.01-00248</t>
  </si>
  <si>
    <t>ГНД ул.К.либкнехта,51, до строения №51 по ул.Революции, г.Аксай, инв. 01-00247</t>
  </si>
  <si>
    <t>ГНД ул.Луначарского,Шевченко,Революции, г.Аксай, инв.01-00234</t>
  </si>
  <si>
    <t>Г-ввод 4 переулок,2,ст.Ольгинская,Аксайский р-н, стор.</t>
  </si>
  <si>
    <t>Г-ввод ДНП Агро-клуб Усадьба,2-24,х.Махин,Аксайский р-н,стор.</t>
  </si>
  <si>
    <t>Г-ввод ДНП Агро-клуб Усадьба,24-308,х.Махин,Аксайский р-н,стор.</t>
  </si>
  <si>
    <t>Г-ввод ДНП Агро-клуб Усадьба,30-390,х.Махин,Аксайский р-н,стор.</t>
  </si>
  <si>
    <t>Г-ввод ДНП Агро-клуб Усадьба,9-120,х.Махин,Аксайский р-н,стор.</t>
  </si>
  <si>
    <t>Г-ввод ДНП Агро-клуб Усадьба,х.Махин, 54-160,Аксайский р-н,стор.</t>
  </si>
  <si>
    <t>Г-ввод ДНТ  Агро-клуб Усадьба,37-471, х.Махин,Аксайский р-н, стор.</t>
  </si>
  <si>
    <t>Г-ввод ДНТ Алмаз,1454,6-я линия,Аксайский р-н,стор.</t>
  </si>
  <si>
    <t>30.06.2018,31.05.18</t>
  </si>
  <si>
    <t>Г-ввод ДНТ Алмаз,494,2-я линия,Аксайский р-н,стор.</t>
  </si>
  <si>
    <t>Г-ввод ДНТ Алмаз,687,Аксайский р-н.стор.</t>
  </si>
  <si>
    <t>Г-ввод пер.Веселый,4,х.Махин,Аксайский р-н, стор.</t>
  </si>
  <si>
    <t>Г-ввод пер.Веселый,7,х.Махин,Аксайский р-н, стор.</t>
  </si>
  <si>
    <t>Г-ввод пер.Новый,8-А.ст.Ольгинская,Аксайский р-н,стор.</t>
  </si>
  <si>
    <t>Г-ввод пер.Ореховый,109,г.Аксай,стор.</t>
  </si>
  <si>
    <t>Г-ввод пер.Спортивный,15,х.Махин,Аксайский р-н,стор.</t>
  </si>
  <si>
    <t>Г-ввод ул.1 Линия,уч-к 353,ДНТ Алмаз,Аксайский р-н,стор.</t>
  </si>
  <si>
    <t>Г-ввод ул.2-я Линия,451,ДНТ Алмаз,Аксайский р-н,стор.</t>
  </si>
  <si>
    <t>Г-ввод ул.2-я Линия,496,ДНТ Алмаз,Аксайский р-н,стор.</t>
  </si>
  <si>
    <t>Г-ввод ул.3 Линия,547, ДНТ Алмаз, Аксайский р стор.</t>
  </si>
  <si>
    <t>Г-ввод ул.324ул. Советская, ст. Грушевская,Аксайский р-н,стор.</t>
  </si>
  <si>
    <t>Г-ввод ул.Абрикосовая,850, СНТ Содружество,Аксайский р-н, стор.</t>
  </si>
  <si>
    <t>Г-ввод ул.Адмирала Кузнецова,20,п.Щепкин,Аксайский р-н,стор.</t>
  </si>
  <si>
    <t>Г-ввод ул.Адмирала Кузнецова,27,п.Щепкин,Аксайский р-н,стор.</t>
  </si>
  <si>
    <t>Г-ввод ул.Адмирала Сорокина,14,п.Щепкин,Аксайский р-н,стор.</t>
  </si>
  <si>
    <t>Г-ввод ул.Адмирала Сорокина,15,п.Щепкин,Аксайский р-н,стор.</t>
  </si>
  <si>
    <t>Г-ввод ул.Адмирала Сорокина,72,п.Щепкин,Аксайский р-н,стор.</t>
  </si>
  <si>
    <t>Г-ввод ул.Андреевская,8 г.Аксай, стор.</t>
  </si>
  <si>
    <t>Г-ввод ул.Асфальтная,3-в, п. Дорожный, Аксайский р стор.</t>
  </si>
  <si>
    <t>Г-ввод ул.Асфальтная,3-ж, п. Дорожный, Аксайский р стор.</t>
  </si>
  <si>
    <t>Г-ввод ул.Березовая,1920, СНТ Содружество,Аксайский р-н, стор.</t>
  </si>
  <si>
    <t>Г-ввод ул.Васильковая,420,СНТ Содружество,Аксайский р-н,стор.</t>
  </si>
  <si>
    <t>Г-ввод ул.Вербная,14-А,г.Аксай,стор.</t>
  </si>
  <si>
    <t>Г-ввод ул.Владимирская,25,г. Аксай,Аксайский р-н,стор.</t>
  </si>
  <si>
    <t>Г-ввод ул.Восточная,11,п.Рассвет,Аксайский р-н</t>
  </si>
  <si>
    <t>Г-ввод ул.Восточная,33,х.Александровка,Аксайский р-н,стор.</t>
  </si>
  <si>
    <t>Г-ввод ул.Гагарина,104, п.Октябрьский, Аксайский р-н ,стор.</t>
  </si>
  <si>
    <t>Г-ввод ул.Грушевая,уч-к 1339, СНТ Содружество,Аксайский р-н,стор.</t>
  </si>
  <si>
    <t>Г-ввод ул.Грушевая,уч-к 1392, СНТ Содружество,Аксайский р-н,стор.</t>
  </si>
  <si>
    <t>Г-ввод ул.Грушевая,уч-к 1393,СНТ Содружество,Аксайский р-н,стор.</t>
  </si>
  <si>
    <t>Г-ввод ул.Ермака,8,п.Реконструктор, Аксайский р-н, стор</t>
  </si>
  <si>
    <t>Г-ввод ул.Жданова,11,г.Аксай,Аксайский р-н,стор.</t>
  </si>
  <si>
    <t>Г-ввод ул.Зеленая,15, х. Ленина ,Аксайский р-н,стор.</t>
  </si>
  <si>
    <t>Г-ввод ул.Зеленая,1-а,х.Большой Лог,Аксайский р-н,стор.</t>
  </si>
  <si>
    <t>Г-ввод ул.Зеленая,29, ст. Грушевская,Аксайский р-н,стор.</t>
  </si>
  <si>
    <t>Г-ввод ул.Иевлева,53-а,г.Аксай,стор.</t>
  </si>
  <si>
    <t>Г-ввод ул.Каскадная,9,п.Реконструктор,Аксайский р-н,стор.</t>
  </si>
  <si>
    <t>Г-ввод ул.Котовского,11, п.Октябрьский,Аксайский р-н, стор.</t>
  </si>
  <si>
    <t>Г-ввод ул.Красноармейская,84, ст. Ольгинская,,Аксайский р-н,стор.</t>
  </si>
  <si>
    <t>Г-ввод ул.Ленина,71, х. Ленина ,Аксайский р-н,стор.</t>
  </si>
  <si>
    <t>Г-ввод ул.Ленина,8, кв.4,п.Реконструктор,Аксайский р-н,стор.</t>
  </si>
  <si>
    <t>Г-ввод ул.Московская,16,г.Аксай,Аксайский р-н,стор.</t>
  </si>
  <si>
    <t>Г-ввод ул.Набережная,1/2, х.Черюмкин,Аксайский р-н,стор.</t>
  </si>
  <si>
    <t>Г-ввод ул.Небесная,7 СНТ Солнечная Поляна,  г.Аксайский р, стор.</t>
  </si>
  <si>
    <t>Г-ввод ул.Новая,11,п.Октябрьский,Аксайский р-н,стор.</t>
  </si>
  <si>
    <t>Г-ввод ул.Новогодняя,36,ст.Старочеркасская,Аксайский р-н,стор.</t>
  </si>
  <si>
    <t>Г-ввод ул.Оливковая,9/7,п.Российский,Аксайский р-н,стор.</t>
  </si>
  <si>
    <t>Г-ввод ул.Персиковая,2296,СНТ Содружество,Аксайский р-н,стор.</t>
  </si>
  <si>
    <t>Г-ввод ул.Персиковая,2316, лит.А, СНТ Содружество,Аксайский р-н, стор.</t>
  </si>
  <si>
    <t>Г-ввод ул.Персиковая,2316, лит.Б,СНТ Содружество,Аксайский р-н,стор.</t>
  </si>
  <si>
    <t>Г-ввод ул.Правобережная,32,ст.Старочеркасская,Аксайский р-н,стор.</t>
  </si>
  <si>
    <t>Г-ввод ул.Производственная,31а,п.Российский,Аксайский р-н, стор.</t>
  </si>
  <si>
    <t>Г-ввод ул.Просторная,22,п.Октябрьский,Аксайский р-н,стор.</t>
  </si>
  <si>
    <t>Г-ввод ул.Пушкина,20,х.Большой Лог,к внеплощ.сетям кирпичного завода, Аксайский р-н,аренда</t>
  </si>
  <si>
    <t>Г-ввод ул.Роз, 2418, снт Содружество, Аксайский р-н, стор.</t>
  </si>
  <si>
    <t>Г-ввод ул.Садовая,36,п.Реконструктор к ПГНД по ул.Садовая, п. Реконструктор,Аксайский р-н, аренда</t>
  </si>
  <si>
    <t>Г-ввод ул.Сосновая, 1955, снт Содружество, Аксайский р-н, стор.</t>
  </si>
  <si>
    <t>Г-ввод ул.Сосновая, 2435, снт Содружество, Аксайский р-н, стор.</t>
  </si>
  <si>
    <t>Г-ввод ул.Спортивная,8/5,п.Российский,Аксайский р-н,стор.</t>
  </si>
  <si>
    <t>Г-ввод ул.Строителей,48, п.Щепкин,Аксайский р-н, стор.</t>
  </si>
  <si>
    <t>Г-ввод ул.Тополей,758,СНТ Содружество,Аксайский р-н, стор.</t>
  </si>
  <si>
    <t>Г-ввод ул.Фадеева,72-Г,х.Большой Лог,Аксайский р-н, стор.</t>
  </si>
  <si>
    <t>Г-ввод ул.Ясная,532, СНТ Содружество,Аксайский р-н,стор.</t>
  </si>
  <si>
    <t>ГНД от №17 по ул.Кирова до стр.№1, ул.Кирова,г.Аксай,инв.01-00174</t>
  </si>
  <si>
    <t>ГНД ул.Пионерская от ул.Луначарского до ул.Фрунзе, г.Аксай, инв.01-00186</t>
  </si>
  <si>
    <t>ГНД х.Большой Лог ул.Фадеева от ж.д.№189 до ж.д.№70, Аксайский р-н,инв. 01-00989</t>
  </si>
  <si>
    <t>ГНД ст.Манычская,Багаевский р-н, инв.01-00865</t>
  </si>
  <si>
    <t>Г-ввод ул.Спортсменская,10,ст.Багаевская,Багаевский р-н,стор.</t>
  </si>
  <si>
    <t>г-вод пер.Путевой 7, г.Белая Калитва .стор</t>
  </si>
  <si>
    <t>г-ввод ул.Набережная 174 г.Белая Калитва г-д ул.Щад.Набережная.Степная г.Белая Калитва аренда</t>
  </si>
  <si>
    <t>г-ввод ул.Садовая 2 п.Жирнов Тацинский р-н стор.</t>
  </si>
  <si>
    <t>п.Сосны, Белокалитвинский р-н инв,4-030197</t>
  </si>
  <si>
    <t>РГ х.Крутинский Белокалитвинского района инв 00-001752</t>
  </si>
  <si>
    <t>Г-ввод пер.Изумрудный,14,ст.Романовская,Волгодонской р-н,стор.</t>
  </si>
  <si>
    <t>Г-ввод пер.Пионерский,14,ст.Красноярская,Цимлянский р-н,стор.</t>
  </si>
  <si>
    <t>Г-ввод ул. Гагрина,49А, ст. Романовская, Волгодонской р,стор</t>
  </si>
  <si>
    <t>Г-ввод ул. Изумрудный,10А, ст. Романовская, Волгодонской р,стор</t>
  </si>
  <si>
    <t>Г-ввод ул.Березовая,34,х.Парамонов,Волгодонской р-н,стор.</t>
  </si>
  <si>
    <t>Г-ввод ул.Мира,118,х.Лозной,Цимлянский р-н,стор.</t>
  </si>
  <si>
    <t>Г-ввод ул.Пионерская,34,ст.Дубенцовская,Волгодонской р-н,стор.</t>
  </si>
  <si>
    <t>Г-ввод ул.Советская,32,ст.Красноярская,Цимлянский р-н,стор.</t>
  </si>
  <si>
    <t>Г-ввод ул.Соловьевых,41а,ст.Романовская,Волгодонской р-н,стор.</t>
  </si>
  <si>
    <t>Г-ввод,ул.Базарная 82,г.Гуково,стор.</t>
  </si>
  <si>
    <t>Г-ввод,ул.Доброхотских,33х.Михайловка,Красносулинский район,стор.</t>
  </si>
  <si>
    <t>Г-ввод,ул.Доброхотских,34х.Михайловка,Красносулинский район,стор.</t>
  </si>
  <si>
    <t>Г-ввод,ул.Доброхотских,36х.Михайловка,Красносулинский район,стор.</t>
  </si>
  <si>
    <t>Г-ввод,ул.Доброхотских,47х.Михайловка,Красносулинский район,стор.</t>
  </si>
  <si>
    <t>Г-ввод,ул.Зеленая 12х.Михайловка,Красносулинский район,стор.</t>
  </si>
  <si>
    <t>Г-ввод,ул.Зеленая 16х.Михайловка,Красносулинский район,стор.</t>
  </si>
  <si>
    <t>Г-ввод,ул.Зеленая 33х.Михайловка,Красносулинский район,стор.</t>
  </si>
  <si>
    <t>Г-ввод,ул.Зеленая 49х.Михайловка,Красносулинский район,стор.</t>
  </si>
  <si>
    <t>Г-ввод,ул.Зеленая 61х.Михайловка,Красносулинский район,стор.</t>
  </si>
  <si>
    <t>Г-ввод,ул.Зеленая 8х.Михайловка,Красносулинский район,стор.</t>
  </si>
  <si>
    <t>Г-ввод,ул.Комсомольская 50,г.Гуково,стор.</t>
  </si>
  <si>
    <t>Г-ввод,ул.Ленина 25 кв.1х.Михайловка,Красносулинский район,стор.</t>
  </si>
  <si>
    <t>Г-ввод,ул.Овражная 21 кв.2 пос.Первомайский,Красносулинский район,стор.</t>
  </si>
  <si>
    <t>Г-ввод,ул.Октябрьская 17,х.Гуково,стор.</t>
  </si>
  <si>
    <t>Г-ввод,ул.Садовая 12х.Михайловка,Красносулинский район,стор.</t>
  </si>
  <si>
    <t>Г-ввод,ул.Садовая 40х.Михайловка,Красносулинский район,стор.</t>
  </si>
  <si>
    <t>Г-ввод,ул.Школьная 21,х.Марс,Красносулинский район,стор.</t>
  </si>
  <si>
    <t>Г-ввод,ул.Юбилейная 1х.Михайловка,Красносулинский район,стор.</t>
  </si>
  <si>
    <t>Г-ввод,ул.Юбилейная  8 А,х.Михайловка,Красносулинский район,стор.</t>
  </si>
  <si>
    <t xml:space="preserve">ГНВСД п.Алмазный,г.Гуково,инв.000013047 </t>
  </si>
  <si>
    <t>РГ для газ-ции кв.153,154,163,164 ж.д.ш.Ростовская г.Гуково,инв.9-41579</t>
  </si>
  <si>
    <t>РГ от ШРП № 11  п.ш.Ростовская,г.Гуково,инв.000013821</t>
  </si>
  <si>
    <t>РГ х.Гуково Красносулинского район</t>
  </si>
  <si>
    <t>РГНСД ул.Колодезная,Алмазная,Фрунзе,Первомайская,Железн.,Красноармейская,Урицкого,г.Гуково,инв.№9-41569</t>
  </si>
  <si>
    <t>Газопровод-ввод ул.Донецкое шоссе,6 к "Расширение сети газопотребления в квартале м/эт застройки,ограниченной ул.Донецкое шоссе, М.Цветаевой и Просторной", аренда</t>
  </si>
  <si>
    <t>Газопровод-ввод ул.Каменская,83к "Тех.перевооружение сети газопотребления ч прокладкой ГСД,установкой ШРП для газификации птицефермы", принадлежит Строителеву О.П.</t>
  </si>
  <si>
    <t>РГ для газ.ж.д. в гр.ул.Краснова, пер.Азовский, Черноморский инв.№000015618</t>
  </si>
  <si>
    <t>РГ ул.Некрасова, Серафимовича, пер.Волгоградский, ул.У.Громовой, пер.Клубный инв.№000017065</t>
  </si>
  <si>
    <t>по мере подключения (тех.присоединении) объектов частных домовладений населения, пост.1314</t>
  </si>
  <si>
    <t>РГ х. Макарьев (1 этап) инв.№000015805</t>
  </si>
  <si>
    <t>РГ х. Макарьев (2 этап) инв.№000016158</t>
  </si>
  <si>
    <t>Г-ввод ул.50 лет Советской Армии,79Б,п.Целина,Целинский р-н,стор.</t>
  </si>
  <si>
    <t>Г-ввод ул.Батюшинская,99,х.Верхнесоленый,Веселовский р-н,стор.</t>
  </si>
  <si>
    <t>Г-ввод ул.Декабристов,32,ст.Кировская к ГСНД ул.Полев,Декабристов,ст.Кировс.Кагальницкий р-н,аренда</t>
  </si>
  <si>
    <t>Г-ввод ул.Красноармейская,42,п.Веселый,Веселовский р-н, стор.</t>
  </si>
  <si>
    <t>Г-ввод ул.Ленинская,32а,п. Веселый, Веселовский р-н,стор.</t>
  </si>
  <si>
    <t>Г-ввод ул.Некрасова,9а,г.Зерноград,стор.</t>
  </si>
  <si>
    <t>Г-ввод ул.Нестерова,11,г.Зерноград, стор.</t>
  </si>
  <si>
    <t>Г-ввод ул.Нестерова,5 к ГПСД ул.Нестерова, г.Зерноград, стор.</t>
  </si>
  <si>
    <t>Г-ввод ул.Отечественная,43, ст. Кагальницкая, Кагальницкий р стор.</t>
  </si>
  <si>
    <t>Г-ввод ул.Строителей,4,п.Веселый,Веселовский р-н,стор.</t>
  </si>
  <si>
    <t>Г-ввод ул.Фруктовая,5,г.Зерноград, стор.</t>
  </si>
  <si>
    <t>Г-ввод ул.Центральная,55,х.Красный Маныч,к ГНД х.Красный Маныч,Показ, Веселовский р-н,аренда</t>
  </si>
  <si>
    <t>Г-ввод ул.Южная,13,ст.Егорлыкская,Егорлыкский р-н,стор.</t>
  </si>
  <si>
    <t>Г-ввод ул.Южная,14,ст. Егорлыкская,Егорлыкский р-н,стор.</t>
  </si>
  <si>
    <t>Г-ввод ул.Южная,15/1,ст. Егорлыкская,Егорлыкский р-н,стор.</t>
  </si>
  <si>
    <t>Г-ввод ул.Южная,15/2,ст. Егорлыкская,Егорлыкский р-н,стор.</t>
  </si>
  <si>
    <t>Г-ввод ул.Южная,17/1,ст.Егорлыкская,Егорлыкский р-н,стор.</t>
  </si>
  <si>
    <t>Г-ввод ул.Южная,8,ст. Егорлыкская,Егорлыкский р-н,стор.</t>
  </si>
  <si>
    <t>ГНД пер.Пушкина, ст.Кагальницкая,Кагальницкий р-н, инв.000014087</t>
  </si>
  <si>
    <t>ГНД ул.Калинина,ст.Егорлыкская,Егорлыкский р-н, инв.000014142</t>
  </si>
  <si>
    <t>ГНД ул.Ленина,ст.Кировская,Кагальницкий р-н, инв.000014091</t>
  </si>
  <si>
    <t>ГНД ул.Мира,Новая,х.Северный, Целинский р-н ,инв.15-51907</t>
  </si>
  <si>
    <t>ГНД ул.Школьная, ст. Кировская, Кагальницкий район, инв.000014079</t>
  </si>
  <si>
    <t>ГНД ул.Школьная,Больничная,Нижняя, х.Красный Октябрь, Веселовского р-на, инв.000014650</t>
  </si>
  <si>
    <t>ГПНД  от пер. Калинина,вдоль ул.Пушкина до пер Колхозный, ст Мечетинская, Зерноградский район, инв 15-45493</t>
  </si>
  <si>
    <t>ГПНД от № 1 до № 45 ул.Комсомольская, г. Зерноград, инв.15-45637</t>
  </si>
  <si>
    <t>ГПНД от № 53 до № 96 ул.Заречная, х.1 -й Россошинский, Зерноградский район,инв.15-48082</t>
  </si>
  <si>
    <t>ГПНД от №32 до № 106, ул.Майская,ст.Кагальницкая,Кагальницкий р-н, инв.15-45485</t>
  </si>
  <si>
    <t>ГПНД ул.4-я Огородная, ЗАО "Ростовское", ст.Кировская, Кагальницкий р-н, инв.15-51746</t>
  </si>
  <si>
    <t>ГПНД ул.Ватутина, г.Зерноград, инв.15-45586</t>
  </si>
  <si>
    <t>ГПНД ул.Хомутовская, от №1, ст.Кировская,Кагальницкий р-н, инв.15-51734</t>
  </si>
  <si>
    <t>ГПСД г.Зерноград ГРП Селекцентра, инв.15-47950</t>
  </si>
  <si>
    <t>ГПСНД ул.Береговая,Пензенская,п.Веселый, Веселовский р-н, инв.15-70246</t>
  </si>
  <si>
    <t>ПГНД ул.Воронежская,Краснодарская,Ворошилова,с.Васильево-Шамшево,Кагальницкий р,инв.000016246</t>
  </si>
  <si>
    <t>ПГНД ул.Кошевого, Подбельского, Новая, Зеленый, п.Кленовый,Зерноградский р, инв.000016243</t>
  </si>
  <si>
    <t>ПНГВНД х.Войнов,вд ул. Центральная, ул. Северная, у. Первая, Егорлыкского района. инв 000015583</t>
  </si>
  <si>
    <t>ПНГНД ул.Луговая, х. Николаевский, Кагальницкий район, инв.000016786</t>
  </si>
  <si>
    <t>ГВНД ул.Садовая, г.Миллерово, инв.000013519   (г.Миллерово, Энергетик Сад, 4)</t>
  </si>
  <si>
    <t xml:space="preserve">             01.11.2017</t>
  </si>
  <si>
    <t>ГВСНД с ГРПШ ул.Гагарина,Вокзальная,г.Миллерово,инв.000013501  (г.Миллерово, ул.Ленина, 12)</t>
  </si>
  <si>
    <t>28,05,2018</t>
  </si>
  <si>
    <t>Г-ввод ул. Гелетухина 12 г Морозовск</t>
  </si>
  <si>
    <t>Г-ввод ул. Главная 4 х. Козинка Морозовского р-на</t>
  </si>
  <si>
    <t>Г-ввод ул. Зеленского 74м г Морозовск</t>
  </si>
  <si>
    <t>Г-ввод ул. П. Коммуны 117 г Морозовск</t>
  </si>
  <si>
    <t>Г-ввод ул. Пл. Революции 62а г Морозовск</t>
  </si>
  <si>
    <t>Г-ввод ул. Калинина 291 г Морозовск</t>
  </si>
  <si>
    <t>Г-ввод вдоль дороги Ростов-Новочерскассск КСП им. Ленина. Аксайский р</t>
  </si>
  <si>
    <t>Г-ввод пер.Кривой,24,лит Б, г.Новочеркасск, стор.</t>
  </si>
  <si>
    <t>Г-ввод пер.Лиховской,22,г.Новочеркасск, стор</t>
  </si>
  <si>
    <t>Г-ввод пер.Студенческий,29,г.Новочеркасск, стор</t>
  </si>
  <si>
    <t>Г-ввод пл. Левски,12 А, г.Новочеркасск, аренда</t>
  </si>
  <si>
    <t>Г-ввод пл.Центральная,5, литер А,г.Новочеркасск,стор.</t>
  </si>
  <si>
    <t>Г-ввод пр.Баклановский,118а,г.Новочеркасск,стор</t>
  </si>
  <si>
    <t>Г-ввод С/Т № 2 (АО Магнит), 66 лит А,г. Новочеркасск стор</t>
  </si>
  <si>
    <t>Г-ввод ул.Желябова,136,пер.Западный,36,г.Новочеркасск,стор.</t>
  </si>
  <si>
    <t>Г-ввод ул.Интернационалистов,57,г.Новочеркасск,стор.</t>
  </si>
  <si>
    <t>Г-ввод ул.Интернационалистов,59,г.Новочеркасск,стор.</t>
  </si>
  <si>
    <t>Г-ввод ул.Первая,уч 25,с/т11 лит.Д,, г.Новочеркасск стор</t>
  </si>
  <si>
    <t>Г-ввод ул.Петрова,3а,лит.Х,лит.Ш, лит.Ч, г.Новочеркасск,стор.</t>
  </si>
  <si>
    <t>Г-ввод ул.Поворотная,7б,г.Новочеркасск,стор</t>
  </si>
  <si>
    <t>Г-ввод ул.Успенская,18, литер А,г.Новочеркасск,стор</t>
  </si>
  <si>
    <t>Г-ввод ул.Худякова,18а, литер А,г.Новочеркасск, стор.</t>
  </si>
  <si>
    <t>Не позднее срока окончания действия договора подключения</t>
  </si>
  <si>
    <t>РГНД ст.Заплавская, Октябрьский район (2 этап), инв.00-000510</t>
  </si>
  <si>
    <t>Г-ввод ул.Окольная,7,г.Сальск,к ГНД ул.Полевая,Васильковая,г.Сальск,аренда</t>
  </si>
  <si>
    <t>ГНД ул.Краснодонцев,Колбасовская,Подгорная,КООП Подгорный,г.Сальск,инв.31-03043</t>
  </si>
  <si>
    <t>Г-ввод пр-езд Дачный № 1,10, г.Семикаракорск,стор.</t>
  </si>
  <si>
    <t>Г-ввод ул. Набережная.5, кв.1, п. Керчикский Усть-Донецкий р-н,стор.</t>
  </si>
  <si>
    <t>Г-ввод ул.Ст.Разина, 48 х. Евсеевский к РГ х.Евсеевский, Усть-Донецкого р-на, аренда</t>
  </si>
  <si>
    <t>ГВНД с ГРПШ зап. р-не Молчанов, Семикаракорск инв.000013200</t>
  </si>
  <si>
    <t>ГВНД ул.Заречная,Широкая,Советская,Луговая,х.Большемечетный, Семикаракорский р-н, инв.000013188</t>
  </si>
  <si>
    <t>ГВНД ул.Октябрьская, Придонская,ул. 10,17 х.Вислый, Семикаракорск инв.000013194</t>
  </si>
  <si>
    <t>НПГНВД ул.Степная, ул. Лазорева,1-й,2-й переулок, пер.Короткий,г.Семикаракорск, инв 32-30248</t>
  </si>
  <si>
    <t>30.12.20018</t>
  </si>
  <si>
    <t>РГ ул.Комарова,ул.Солнечная,ул.Заводская МКР Молчанов г. Семикаракорск, инв.000015995</t>
  </si>
  <si>
    <t>Г-ввод 10 Садовая площадка,3а,г.Таганрог,к ГНД зилн 7 навбакин,аренда</t>
  </si>
  <si>
    <t>Г-ввод 1300 км СКЖД СНТ Тюльпан,уч-к 31, к ВНГ СТ Голуб.Ели,Мор.Чулек,Неклиновский р-н,аренда</t>
  </si>
  <si>
    <t>Г-ввод 29 переулок, 2-а,г.Таганрог,к ГНД Красный,г.Таганрог,аренда</t>
  </si>
  <si>
    <t>Г-ввод ДНТ Парус,60, с.Николаевка,ВНГ АГРС Троиц1,Луг,Ленин,Фрунзе,с.Николаевка,Неклиновский р-н,аренда</t>
  </si>
  <si>
    <t>Г-ввод ДНТ Полет,447,с.Николаевка,Неклиновский р-н,стор.</t>
  </si>
  <si>
    <t>Г-ввод ДНТ Энтузиаст-2,6,с.Николаевка,Гаевка АГРС Троцкое,Неклиновский р-н,аренда</t>
  </si>
  <si>
    <t>Г-ввод Металлург-2,сад,6,с.Бессергеновка,ВНГ ул.Мирн1,от ШГРП-3 до Соц.Неклиновский р-н,аренда</t>
  </si>
  <si>
    <t>Г-ввод Неклиновский Энергетик,117,с.Николаевка,ВНГ АГРС Троиц1,Луг,Лен,Неклиновский р-н,аренда</t>
  </si>
  <si>
    <t>Г-ввод Николаевское шоссе,1-2, г.Таганрог,стор.</t>
  </si>
  <si>
    <t>Г-ввод Николаевское шоссе,19-1,СНТ Весна,уч-к 84,г.Таганрог,стор.</t>
  </si>
  <si>
    <t>Г-ввод пер.18-й Мариупольский,29/ул.Бериева,21,г.Таганрог,стор.</t>
  </si>
  <si>
    <t>Г-ввод пер.Комсомольский,19-1, г.Таганрог,ГНДА.Глушко,г.Таганрог,аренда</t>
  </si>
  <si>
    <t>Г-ввод пер.Медный,1,г.Таганрог,к ГНД медн,октябрь,г.Таганрог,аренда</t>
  </si>
  <si>
    <t>Г-ввод пер.Павловский,17-1,СНТ Лиман-2,уч-к 12,г.Таганрог,стор.</t>
  </si>
  <si>
    <t>Г-ввод с/т Химик,3,с.Андреево-Мелентьево, к ВНГ ул.Октябрь,Первом,с.А-Мелентьево,Неклиновский р-н,аренда</t>
  </si>
  <si>
    <t>Г-ввод Северо-Западное шоссе,10, ДНТ Омега,232,г.Таганрог,стор.</t>
  </si>
  <si>
    <t>Г-ввод СНТ Дачное-1,аллея 4,уч-к 44,г.Таганрог,стор.</t>
  </si>
  <si>
    <t>Г-ввод СНТ Котлостроитель,133,г.Таганрог,стор.</t>
  </si>
  <si>
    <t>Г-ввод СНТ Миусские Зори,72, х.Боркин,Неклиновский р-н,стор.</t>
  </si>
  <si>
    <t>Г-ввод ст Педагог,174, г.Таганрог,стор.</t>
  </si>
  <si>
    <t>Г-ввод ст Педагог,313,г.Таганрог,стор.</t>
  </si>
  <si>
    <t>Г-ввод ст Педагог,352, г.Таганрог,стор.</t>
  </si>
  <si>
    <t>Г-ввод СТ Приморье,уч-к 59, Неклиновский р-н,стор.</t>
  </si>
  <si>
    <t>Г-ввод ул.Береговая,1-г,с.А-Мелентьево,к ВНГ ул.Октябрь,Первом,с.А-Мелентьево,Неклиновский р-н,аренда</t>
  </si>
  <si>
    <t>Г-ввод ул.Береговая,11а,с.Мержаново,к ВНГ СТ Голубые Ели,Морск,Чулек,Неклиновский р-н,аренда</t>
  </si>
  <si>
    <t>Г-ввод ул.Береговая,9-а,с.А-Мелентьево,к ВНГ ул.Октябрьск,Первом,с.А-Мелентьево,Неклиновский р-н,аренда</t>
  </si>
  <si>
    <t>Г-ввод ул.Восточная,29-б, с.Новобессергеновка,Неклиновский р-н,стор.</t>
  </si>
  <si>
    <t>Г-ввод ул.Восточная,40,с.Новобессергеновка,Неклиновский р-н, стор.</t>
  </si>
  <si>
    <t>Г-ввод ул.Восточная,42, с.Новобессергеновка,Неклиновский р-н.стор.</t>
  </si>
  <si>
    <t>Г-ввод ул.Гоголя,52-а,с.Николаевка,Неклиновский р-н, стор</t>
  </si>
  <si>
    <t>Г-ввод ул.Дзержинского,60/ул.Штыба,76,г.Таганрог,к ГНД Ткач, 2 ком,г.Таганрог,аренда</t>
  </si>
  <si>
    <t>Г-ввод ул.Евминенко,15/Б.Проспект,8, г.Таганрог, к ГНД Евминенко,г.Таганрог,аренда</t>
  </si>
  <si>
    <t>Г-ввод ул.Жасминная,1,х.Новолакедемоновка к ПГ х.Новолакедемоновка,Неклиновский р-н,аренда</t>
  </si>
  <si>
    <t>Г-ввод ул.Инициативная,60,г.Таганрог, к ГНД ул.Греческая,г.Таганрог,аренда</t>
  </si>
  <si>
    <t>Г-ввод ул.Ленина,67,с.Синявское,ВНГ Буденновский спуск,Неклиновский р-н,аренда</t>
  </si>
  <si>
    <t>Г-ввод ул.Лескова,6-б,с.Новобессергеновка,Неклиновский р-н,стор.</t>
  </si>
  <si>
    <t>Г-ввод ул.Лескова,6-в,с.Новобессергеновка,Неклиновский р-н,стор.</t>
  </si>
  <si>
    <t>Г-ввод ул.Межевая,5,с.Николаевка,Неклиновский р-н,стор.</t>
  </si>
  <si>
    <t>Г-ввод ул.Миусская,5, с.Беглица,к ПГ с.Беглица,Лакедемоновская,АГРС,Неклиновский р-н,аренда</t>
  </si>
  <si>
    <t>Г-ввод ул.Первомайская,56,с.Куйбышево, Неклиновский р-н,заяв.Шабельник Н.И.,стор.</t>
  </si>
  <si>
    <t>Г-ввод ул.Петлякова,50/24,г.Таганрог,стор.</t>
  </si>
  <si>
    <t>Г-ввод ул.Пионерская,13,х.Красный Десант ПГ ГРС р/к Первомайский,Неклиновский р-н,аренда</t>
  </si>
  <si>
    <t>Г-ввод ул.Победы,1-р,с.Андреево-Мелентьево, к ВНГ ул.Октябрь,Первом,с.А-Мелентьево,Неклиновский р-н,аренда</t>
  </si>
  <si>
    <t>Г-ввод ул.Полевая,73, с.Покровское,Неклиновский р-н,стор.</t>
  </si>
  <si>
    <t>Г-ввод ул.Пушкина,36-д, с.Николаевка,ВНГ АГРС Троицк1,Лугова,Неклиновский р-н,аренда</t>
  </si>
  <si>
    <t>Г-ввод ул.Пушкина,88,с.Николаевка,к ВНГ АГРС Троицк1,Луг,Лен,Фрунзе,Неклиновский р-н,аренда</t>
  </si>
  <si>
    <t>Г-ввод ул.Пушкина,94,с.Николаевка,к ВНГ АГРС Троицк1,Луг,Лен,Фрунзе,Неклиновский р-н,аренда</t>
  </si>
  <si>
    <t>Г-ввод ул.Чехова,4-а,с.Николаевка,к ВНГ с.Никол,Гаевка,АГРС Троицкая,Неклиновский р-н,аренда</t>
  </si>
  <si>
    <t>Г-ввод ул.Шмидта,3,с.Боцманово, к ПГ от ГРП п.Комаровка,Неклиновский р-н,аренда</t>
  </si>
  <si>
    <t>ГСНД  с.Миллерово, Куйбышеского района,инв.22-05811</t>
  </si>
  <si>
    <t>ПГНД ул.Орджоникидзе,х.Ленинаван, Мясниковский р-н, инв.22-00944</t>
  </si>
  <si>
    <t>ГНД ул.Абовяна,Ленина,Баграмяна,с.Большие Салы,Мясниковский р-н, инв.22-00489</t>
  </si>
  <si>
    <t>ГНД восточ.от зап.гр.зем.уч-ка ул.Изумрудная,х.Красный Крым,Мясниковский р-н,инв.000013942</t>
  </si>
  <si>
    <t>ГВНД ул.Орджоникидзе, х.Ленинаван,Мясниковский р-н, инв.00-06666</t>
  </si>
  <si>
    <t>Г-ввод ул.Шапкина,21/36, г.Ростов-на-Дону,стор.</t>
  </si>
  <si>
    <t>Г-ввод ул.Цветочная,1а, х. Хапры, Мясниковский р ,стор.</t>
  </si>
  <si>
    <t>Г-ввод ул.Удачная,12,х. Ленинаван, Мясниковский р-н ,стор.</t>
  </si>
  <si>
    <t>Г-ввод ул.Тенистая,4, ДНТ п. Озерный,  Мясниковский р-н ,стор.</t>
  </si>
  <si>
    <t>Г-ввод ул.Суворова,28а,с.Чалтырь,Мясниковский р-н,стор.</t>
  </si>
  <si>
    <t>Г-ввод ул.Степная,47,х.Калинин,Мясниковский р-н,стор.</t>
  </si>
  <si>
    <t>Г-ввод ул.Свободы,25,х.Красный Крым, Мясниковский р-н, стор.</t>
  </si>
  <si>
    <t>Г-ввод ул.Российская,16а, х. Кр. Крым,  Мясниковский р-н ,стор.</t>
  </si>
  <si>
    <t>Г-ввод ул.Пролетарская,32, с.Чалтырь, Мясниковский р-н,стор.</t>
  </si>
  <si>
    <t>Г-ввод ул.Ореховая,17, х. Кр. Крым,  Мясниковский р-н ,стор.</t>
  </si>
  <si>
    <t>Г-ввод ул.Оливковая,9,х.Красный Крым, Мясниковский р-н,стор.</t>
  </si>
  <si>
    <t>Г-ввод ул.Лукашина,25в, х.Ленинакан, Мясниковский р-н, стор.</t>
  </si>
  <si>
    <t>Г-ввод ул.Лукашина,18б,с.Чалтырь,Мясниковский р-н, стор.</t>
  </si>
  <si>
    <t>Г-ввод ул.Луговая,39, ДНП Поселок "Озерный", Мясниковский р-н ,стор.</t>
  </si>
  <si>
    <t>Г-ввод ул.Луговая,35,х.Красный Крым,Мясниковский р-н,стор.</t>
  </si>
  <si>
    <t>Г-ввод ул.Луговая,19,х.Красный Крым,Мясниковский р-н,стор.</t>
  </si>
  <si>
    <t>Г-ввод ул.Луговая,17,х.Красный Крым,Мясниковский р-н,стор.</t>
  </si>
  <si>
    <t>Г-ввод ул.Ландышевая,7а,х.Ленинаван, к ГНД ул.Ландышевая,х.Ленинаван,Мясниковский р-н,аренда</t>
  </si>
  <si>
    <t>Г-ввод ул.Крымская,15, с. Б. Салы, Мясниковский р-н ,стор.</t>
  </si>
  <si>
    <t>Г-ввод ул.Красноармейская,102а, с.Чалтырь, к ГНД ул.Красноармейская, с.Чалтырь, Мясниковский р-н, аренда</t>
  </si>
  <si>
    <t>Г-ввод ул.Кирова,38, х.Красный Крым, Мясниковский р-н, стор.</t>
  </si>
  <si>
    <t>Г-ввод ул.Кардашяна,7, с.  Крым,  Мясниковский р-н ,стор.</t>
  </si>
  <si>
    <t>Г-ввод ул.Звонкая,57а, г. Ростов-на-Дону ,стор.</t>
  </si>
  <si>
    <t>Г-ввод ул.Ереванская,11/1, х.Ленинаван, Мясниковский р-н, стор.</t>
  </si>
  <si>
    <t>Г-ввод ул.Ереванская,10/1, х.Ленинаван, Мясниковский р-н, стор.</t>
  </si>
  <si>
    <t>Г-ввод ул.Дружбы,76,х.Ленинаван, Мясниковский р-н,стор.</t>
  </si>
  <si>
    <t>Г-ввод ул.Весенняя,12, с.Чалтырь, Мясниковский р-н, стор.</t>
  </si>
  <si>
    <t>Г-ввод ул.Абрикосовая,48, ДНП п.Озерный,Мясниковский р-н,стор.</t>
  </si>
  <si>
    <t>Г-ввод ул.Абовяна,75, х.Ленинаван, Мясниковский р-н, стор.</t>
  </si>
  <si>
    <t>Г-ввод ул.16-я Линия,21,с.Чалтырь,Мясниковский р-н,стор.</t>
  </si>
  <si>
    <t>Г-ввод СТ Донец, уч-к 8, Мясниковский р-н, стор.</t>
  </si>
  <si>
    <t>Г-ввод с/т Солнышко, уч-к 34, Мясниковский р-н,стор.</t>
  </si>
  <si>
    <t>Г-ввод пер.Гороховый,17, г. Ростов-на-Дону ,стор.</t>
  </si>
  <si>
    <t>Г-ввод пер.5-й Путеводный,52,СНТ Сириус, Мясниковский р-н, стор.</t>
  </si>
  <si>
    <t>Г-ввод к.н.61:33:0600012:642, с.Генеральское,Родионово-Несветайский р-н, стор.</t>
  </si>
  <si>
    <t>Г-ввод ул.Могилевская,43, кв. 14,г.Шахты,инв.</t>
  </si>
  <si>
    <t>Г-ввод ул.Буковая,20,г.Батайск,стор.</t>
  </si>
  <si>
    <t>Г-ввод ул.Купеческая,47А,г.Батайск</t>
  </si>
  <si>
    <t>Г-ввод ул.Медовая,19,г.Батайск,стор.</t>
  </si>
  <si>
    <t>Г-ввод ул.Социалистическая,100А, г.Батайск</t>
  </si>
  <si>
    <t>Г-д (рек) ул.Ленина, Кулаг до Бекентьева,Энгельса К.Цеткин,Совхоз,ГРП Южный,г.Батайск,инв.3-030029</t>
  </si>
  <si>
    <t>Г-д ул.М.Горького, (чет.стор) от ул.Куйбышева до ул.Луначарского, г.Батайск, инв.3-030232</t>
  </si>
  <si>
    <t>Г-д ул.Пионерская,Талалихина, до ул.Суворова(чет.ст.142-220), г.Батайск, инв.3-030259</t>
  </si>
  <si>
    <t>ГСНД ул.Строителей,Светлая,п.Мокрый Батай,Кагальницкий р-н, инв.000013021</t>
  </si>
  <si>
    <t>ПГВНД ул.Артемовская, Пятигорс, Белорусск,Молдавская,Горького,Грузинская,Томс,Батайск, инв.3-030384</t>
  </si>
  <si>
    <t>Г-ввод ул.Липовая,18б,г.Батайск, стор.</t>
  </si>
  <si>
    <t>Г-ввод  ДНТ Исток, уч 174, г.Ростов-на-Дону,стор.</t>
  </si>
  <si>
    <t>Г-ввод 8-я улица,17, СНТ Донподход, ул.2-я Бежевая,г.Ростов-на-Дону,стор.</t>
  </si>
  <si>
    <t>Г-ввод ДНТ Победа, уч-к 226, г.Ростов-на-Дону,стор.</t>
  </si>
  <si>
    <t>Г-ввод пер. 4-й Берестяной,65, уч-к 338, ДНТ Утро, г.Ростов-на-Дону, стор.</t>
  </si>
  <si>
    <t>Г-ввод пер.1-й Берестяной,44, уч.137, ДНТ Утро,г.Ростов-на-Дону,стор.</t>
  </si>
  <si>
    <t>Г-ввод пер.1-й Тверской,9, п. Темерницкий,Аксайский район,стор.</t>
  </si>
  <si>
    <t>Г-ввод пер.1-й Флаговый,9/169, СНТ Братство, уч-к 707, г.Ростов-на-Дону,стор.</t>
  </si>
  <si>
    <t>Г-ввод пер.1-й Черкасский,10, СНТ Алмаз, к.н. 61:44:0030609:39, г.Ростов-на-Дону,стор.</t>
  </si>
  <si>
    <t>Г-ввод пер.2-й Берестяной,уч.227, ДНТ Утро, г.Ростов-на-Дону,стор.</t>
  </si>
  <si>
    <t>Г-ввод пер.2-й Лазоревый,30, СНТ Урожай,г.Ростов-на-Дону,стор.</t>
  </si>
  <si>
    <t>Г-ввод пер.5-й Дружный,16, СНТ Братство, уч-к 1119, г.Ростов-на-Дону,стор.</t>
  </si>
  <si>
    <t>Г-ввод пер.5-й Кустарный,уч-к 183, ДНТ Утро, г.Ростов-на-Дону,стор.</t>
  </si>
  <si>
    <t>Г-ввод пер.5-й Кустарный,уч-к 49,ДНТ Утро, г.Ростов-на-Дону,стор.</t>
  </si>
  <si>
    <t>Г-ввод пер.5-й Кустарный,уч.64, ДНТ Утро, г.Ростов-на-Дону,стор.</t>
  </si>
  <si>
    <t>Г-ввод пер.6-й Лазоревый,15, г.Ростов-на-Дону,стор.</t>
  </si>
  <si>
    <t>Г-ввод пер.7-й Лазоревый, 66А, СНТ Урожай, г.Ростов-на-Дону, стор.</t>
  </si>
  <si>
    <t>Г-ввод пер.7-й Лазоревый,6, г.Ростов-на-Дону, стор.</t>
  </si>
  <si>
    <t>Г-ввод пер.7-й Лазоревый,64, СНТ Урожай,г.Ростов-на-Дону,стор.</t>
  </si>
  <si>
    <t>Г-ввод пер.7-й Лазоревый,64А,СНТ Урожай,г.Ростов-на-Дону,стор.</t>
  </si>
  <si>
    <t>Г-ввод пер.9-й Лазоревый,49, г.Ростов-на-дону,стор.</t>
  </si>
  <si>
    <t>Г-ввод пер.9-й Лазоревый,87/35, СНТ Урожай,г.Ростов-на-дону,стор.</t>
  </si>
  <si>
    <t>Г-ввод пер.Синявский,12,г.Ростов-на-Дону, стор.</t>
  </si>
  <si>
    <t>Г-ввод пр-зд 4-й Тверской,1, п.Темерницкий,Аксайский р-н,стор.</t>
  </si>
  <si>
    <t>Г-ввод пр-зд Видный,21/9, п.Темерницкий,Аксайский р-н.стор.</t>
  </si>
  <si>
    <t>Г-ввод пр-зд Видный,28/12, п.Темерницкий,Аксайский р-н.стор.</t>
  </si>
  <si>
    <t>Г-ввод пр-зд Екатерининский,7, п.Темерницкий,Аксайский р-н, стор.</t>
  </si>
  <si>
    <t>Г-ввод пр-зд Елизаветинский,15,п.Темерницкий,Аксайский р-, стор.</t>
  </si>
  <si>
    <t>Г-ввод пр-зд Елизаветинский,7,п.Темерницкий,Аксайский р-, стор.</t>
  </si>
  <si>
    <t>Г-ввод пр-зд Приятный,4,п.Темерницкий,Аксайский р-н,стор.</t>
  </si>
  <si>
    <t>Г-ввод пр-зд Приятный,6,п.Темерницкий,Аксайский р-н.стор.</t>
  </si>
  <si>
    <t>Г-ввод пр-зд Прохладный,1,п.Темерницкий,Аксайский р-,стор.</t>
  </si>
  <si>
    <t>Г-ввод пр-зд Прохладный,23а,п.Темерницкий,Аксайский р-н, стор.</t>
  </si>
  <si>
    <t>Г-ввод пр-зд Тихий,5,п.Темерницкий,Аксайскийр-н, стор.</t>
  </si>
  <si>
    <t>Г-ввод пр.Удачный,4, п. Темерницкий,Аксайский р, стор.</t>
  </si>
  <si>
    <t>Г-ввод с/т Защитник,25/32, г.Ростов-на-Дону, стор.</t>
  </si>
  <si>
    <t>Г-ввод СНТ Алмаз,36,к.н.61:44:0030609:25,г.Ростов-на-Дону,стор.</t>
  </si>
  <si>
    <t>Г-ввод СНТ Алмаз,64,г.Ростов-на-Дону,стор.</t>
  </si>
  <si>
    <t>Г-ввод СНТ Братство,1129,г.Ростов-на-Дону,стор.</t>
  </si>
  <si>
    <t>Г-ввод СНТ Братство,97, 102,г.Ростов-на-Дону,стор.</t>
  </si>
  <si>
    <t>Г-ввод СНТ Защитник, 15/36,г.Ростов-на-Дону,стор.</t>
  </si>
  <si>
    <t>Г-ввод СНТ Защитник, 3/5,г.Ростов-на-Дону,стор.</t>
  </si>
  <si>
    <t>Г-ввод СНТ Защитник,6/1,г.Ростов-на-Дону,стор.</t>
  </si>
  <si>
    <t>Г-ввод СНТ Урожай, 6-25, г.Ростов-на-Дону,стор.</t>
  </si>
  <si>
    <t>Г-ввод СНТ Урожай, к.н. 61:44:0082612:1724, г.Ростов-на-Дону,стор.</t>
  </si>
  <si>
    <t>Г-ввод СНТ Урожай, уч-9-78, 61:44:0082612:283, г. Ростов-на-Дону,  стор</t>
  </si>
  <si>
    <t>Г-ввод СНТ Яблочко,уч.66, к ГНД на тер.СНТ Яблочко, Аксайский р-н, стор.</t>
  </si>
  <si>
    <t>Г-ввод ул 4-я Городецкая,12/4,СТ Защитник,г.Ростов-на-Дону,стор.</t>
  </si>
  <si>
    <t>Г-ввод ул.1-я Огуречная,27, г.Ростов-на-Дону,стор.</t>
  </si>
  <si>
    <t>Г-ввод ул.15-я Линия,8,г.Ростов-на-Дону,к ПГНД ул.15-я Линия,г.Ростов-на-Дону,аренда</t>
  </si>
  <si>
    <t>Г-ввод ул.2-я Луговая,27,г.Ростов-на-Дону,стор.</t>
  </si>
  <si>
    <t>Г-ввод ул.2-я Осевая,18, г.Ростов-на-Дону,стор.</t>
  </si>
  <si>
    <t>Г-ввод ул.2-я Процветания,14/8,г.Ростов-на-Дону,стор.</t>
  </si>
  <si>
    <t>Г-ввод ул.2-я Тернистая,62а,ДНТ Садовод-Любитель,г.Ростов-на-Дону,стор.</t>
  </si>
  <si>
    <t>Г-ввод ул.39-я Линия,77,г.Ростов-на-Дону,аренда</t>
  </si>
  <si>
    <t>Г-ввод ул.4-я Линия,21, СНТ Донподход, г.Ростов-на-Дону,стор.</t>
  </si>
  <si>
    <t>Г-ввод ул.4-я Линия,43, СНТ Донподход, г.Ростов-на-Дону,стор.</t>
  </si>
  <si>
    <t>Г-ввод ул.4-я Престижная,39, ДНТ ГАмма-Труд,г.Ростов-на-Дону, стор.</t>
  </si>
  <si>
    <t>Г-ввод ул.4-я Процветания,8а, СНТ Урожай,г.Ростов-на-Дону,стор.</t>
  </si>
  <si>
    <t>Г-ввод ул.4-я, к.н. 61:44:0070704:174, СНТ Донподход, г.Ростов-на-Дону,стор.</t>
  </si>
  <si>
    <t>Г-ввод ул.6-я Улица,27, СНТ Донподход, г.Ростов-на-Дону,стор.</t>
  </si>
  <si>
    <t>Г-ввод ул.7-я Улица,39, СНТ Донподход, г.Ростов-на-Дону,стор.</t>
  </si>
  <si>
    <t>Г-ввод ул.Вербная,6,г.Ростов-на-Дону,к ГНД ул.Вербная,г.Ростов-на-Дону,аренда</t>
  </si>
  <si>
    <t>Г-ввод ул.Версальская,10, х. Камышеваха, Аксайский район, стор</t>
  </si>
  <si>
    <t>Г-ввод ул.Гипсовая,24,г.Ростов-на-Дону, стор.</t>
  </si>
  <si>
    <t>Г-ввод ул.Горчакова,20,г.Аксай,стор.</t>
  </si>
  <si>
    <t>Г-ввод ул.Горчакова,22,г.Аксай,стор.</t>
  </si>
  <si>
    <t>Г-ввод ул.Гусарская,15,г.Ростов-на-Дону,стор.</t>
  </si>
  <si>
    <t>Г-ввод ул.Добрососедская,35, ДНТ Исток, уч 185, г.Ростов-на-Дону,стор.</t>
  </si>
  <si>
    <t>Г-ввод ул.Дымчатая,17А,г.Ростов-на-Дону,стор.</t>
  </si>
  <si>
    <t>Г-ввод ул.Жавель,25, х.Камышеваха,Аксайский р-н, стор.</t>
  </si>
  <si>
    <t>Г-ввод ул.Жданова,14, г. Ростов-на-Дону, стор.</t>
  </si>
  <si>
    <t>Г-ввод ул.Золотистая,128/1, СНТ Виноградарь,г.Ростов-на-Дону,стор.</t>
  </si>
  <si>
    <t>Г-ввод ул.Кеплера,7А.п.Верхнетемерницкий,Аксайский р-н,стор.</t>
  </si>
  <si>
    <t>Г-ввод ул.Красноармейская,157/124, ,г.Ростов-на-Дону,стор.</t>
  </si>
  <si>
    <t>Г-ввод ул.Латуневая,12/22, х.Камышеваха,Аксайский р-н, стор.</t>
  </si>
  <si>
    <t>Г-ввод ул.Латуневая,7, х.Камышеваха,Аксайский р-н, стор.</t>
  </si>
  <si>
    <t>Г-ввод ул.Левобережная,137,г.Ростов-на-Дону,стор.</t>
  </si>
  <si>
    <t>Г-ввод ул.Левобережная,2, СНТ Задонье, уч-к86/3, ст.Ольгинская,Аксайский р-н,стор.</t>
  </si>
  <si>
    <t>Г-ввод ул.Левобережная,4 СНТ Донское,уч-к 1153, ст.Ольгинская,Аксайский р-н,стор.</t>
  </si>
  <si>
    <t>Г-ввод ул.Левобережная,с/т Задонье, уч-к 363/3,ст.Ольгинская,Аксайский р-н, стор.</t>
  </si>
  <si>
    <t>Г-ввод ул.Лелюшенко,16, г.Ростов-на-Дону,стор.</t>
  </si>
  <si>
    <t>Г-ввод ул.Литвинова,30, г.Ростов-на-Дону,к ПГСД ул.Литвинова,г.Ростов-на-Дону,аренда</t>
  </si>
  <si>
    <t>Г-ввод ул.Млечного пути,33, п.Верхнетемерницкй,Аксайский р-н, стор.</t>
  </si>
  <si>
    <t>Г-ввод ул.Мопра,42,г.Ростов-на-Дону, ПГСД пр.Стачки,114,г.Ростов-на-Дону,аренда</t>
  </si>
  <si>
    <t>Г-ввод ул.Орбитальная,3д,г.Ростов-на-Дону, стор.</t>
  </si>
  <si>
    <t>Г-ввод ул.Петровская,3,г.Ростов-на-Дону,к РГСД ул.Чехова,г.Ростов-на-Дону,аренда</t>
  </si>
  <si>
    <t>Г-ввод ул.Пешкова,48А,г.Ростов-на-Дону,к РГНД ул.Пешкова,г.Ростов-на-Дону,аренда</t>
  </si>
  <si>
    <t>Г-ввод ул.Половецкая,4В,г.Ростов-на-Дону,стор.</t>
  </si>
  <si>
    <t>Г-ввод ул.Попутная,33а,г.Ростов-на-Дону,стор.</t>
  </si>
  <si>
    <t>Г-ввод ул.Престижная,18, ДНТ Гамма-Труд,6-я линия,1,г.Ростов-на-Дону,стор.</t>
  </si>
  <si>
    <t>Г-ввод ул.Родниковая,4д,г.Ростов-на-Дону,стор.</t>
  </si>
  <si>
    <t>Г-ввод ул.Рябышева,119,г.Ростов-на-Дону,стор.</t>
  </si>
  <si>
    <t>Г-ввод ул.Суворова,13, г.Ростов-на-Дону стор</t>
  </si>
  <si>
    <t>Г-ввод ул.Татарская,89,г.Ростов-на-Дону, к ПГНД ул.Татарская,г.Ростов-на-Дону,аренда</t>
  </si>
  <si>
    <t>Г-ввод ул.Тельмана,145,кв 2,г.Ростов-на-Дону, стор.</t>
  </si>
  <si>
    <t>Г-ввод ул.Тибетская,142/1,г.Ростов-на-Дону,стор.</t>
  </si>
  <si>
    <t>Г-ввод ул.Товарищеская,4,г.Ростов-на-Дону,к ПГНД ул.Товарищеская,г.Ростов-на-Дону,аренда</t>
  </si>
  <si>
    <t>Г-ввод ул.Череповецкая,42,г.Ростов-на-Дону,стор.</t>
  </si>
  <si>
    <t>Г-ввод ул.Шарон,11,х.Камышеваха,Аксайский р-н,стор.</t>
  </si>
  <si>
    <t>Г-ввод ул.Шарон,7,х.Камышеваха,Аксайский р-н,стор.</t>
  </si>
  <si>
    <t>Г-ввод ул.Шарон,9,х.Камышеваха,Аксайский р-н,стор.</t>
  </si>
  <si>
    <t>Г-ввод ул.Шелковая,15,г.Ростов-на-Дону,стор.</t>
  </si>
  <si>
    <t>Г-ввод ул.Шоссейная,2а,г.Ростов-на-Дону,стор.</t>
  </si>
  <si>
    <t>Г-ввод х.Камышеваха,к.н. 61:02:0010401:716, Аксайский р-н, к ПГСД пр.Изумрудный,х.Камышеваха,Аксайский р-н,аренда</t>
  </si>
  <si>
    <t>Г-вволд пер.2-й Доступный,54/12, СТ Садовод,г.Ростов-на-Дону,стор.</t>
  </si>
  <si>
    <t>Г-ввод ул.Прокофьева,8,г.Ростов-на-Дону,стор.</t>
  </si>
  <si>
    <t>30.06.208</t>
  </si>
  <si>
    <t>Г-ввод пр-зд Тихий,3, п.Темерницкий,Аксайский р-н, стор.</t>
  </si>
  <si>
    <t>ПАО "Газпром газораспределение Ростов-на-Дону" в ст. Вешенской</t>
  </si>
  <si>
    <t>Г-ввод ул.Сосновый Бор,13 с.Вешенская, РПЭГСД ул.Сосновый,Бор,с.Вешенская,Шолоховский р-н,аренда</t>
  </si>
  <si>
    <t>Всего затрат по незавершенному строительству</t>
  </si>
  <si>
    <t xml:space="preserve">Актуатор гидравлический </t>
  </si>
  <si>
    <t>Источник бесперебойного питания АРС Smart-UPS RT 6000VA RM 230V</t>
  </si>
  <si>
    <t>Источник бесперебойного питания АРС Smart-UPS SRT 10000VA/10000W RM</t>
  </si>
  <si>
    <t>Модуль батарейный АРС Smart-UPS SRT 192V 5kVA-6kVA RM SRT192RMBP</t>
  </si>
  <si>
    <t>Модуль батарейный АРС Smart-UPS SRT 192V 8kVA-10kVA RM SRT192RMBP2</t>
  </si>
  <si>
    <t>Плоттер HP DesignJet T520 36" (CQ893A)</t>
  </si>
  <si>
    <t>Система хранения данных Aquarius HT Array 2050</t>
  </si>
  <si>
    <t>Сплит-система Ballu BSEI-24HN1 Platinum DC</t>
  </si>
  <si>
    <t>Станция гидравлическая</t>
  </si>
  <si>
    <t>Электрогенератор газовый Gazvolt</t>
  </si>
  <si>
    <t xml:space="preserve">Сч.08.4 </t>
  </si>
  <si>
    <t>Разрешение на строительство</t>
  </si>
  <si>
    <t>№Ru 61-502101-574-2015 от 29.01.16г.</t>
  </si>
  <si>
    <t>№ 61-525-668-2017 от 16.11.17г.</t>
  </si>
  <si>
    <t>№61-532-6-2017 от  10.08.17г</t>
  </si>
  <si>
    <t>№Ru 61532310-11 от 09.02.12г.</t>
  </si>
  <si>
    <t>№ 61-542312-26-2018 от 20.03.18г.</t>
  </si>
  <si>
    <t>№61-532308-2-2017
 от  10.08.17г</t>
  </si>
  <si>
    <t>№61-532308-2-2017 от  10.08.17г</t>
  </si>
  <si>
    <t>№61-RU61534311-484-2017 от 06.12.2017</t>
  </si>
  <si>
    <t>№61-529-105-2017 от 05.12.2017</t>
  </si>
  <si>
    <t>не требуется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</si>
</sst>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43" x14ac:knownFonts="1">
    <font>
      <sz val="8"/>
      <name val="Arial"/>
      <family val="2"/>
    </font>
    <font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i/>
      <sz val="9"/>
      <name val="Arial Cyr"/>
      <charset val="204"/>
    </font>
    <font>
      <sz val="9"/>
      <name val="Arial Cyr"/>
      <charset val="204"/>
    </font>
    <font>
      <sz val="10"/>
      <name val="Helv"/>
    </font>
    <font>
      <sz val="8"/>
      <name val="Arial"/>
      <family val="2"/>
    </font>
    <font>
      <b/>
      <sz val="9"/>
      <name val="Arial Cyr"/>
      <charset val="204"/>
    </font>
    <font>
      <b/>
      <i/>
      <sz val="12"/>
      <name val="Arial Cyr"/>
      <family val="2"/>
      <charset val="204"/>
    </font>
    <font>
      <sz val="9"/>
      <name val="Arial"/>
      <family val="2"/>
      <charset val="1"/>
    </font>
    <font>
      <sz val="9"/>
      <name val="Helv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9"/>
      <name val="Arial"/>
      <family val="2"/>
      <charset val="204"/>
    </font>
    <font>
      <i/>
      <sz val="9"/>
      <name val="Arial Cyr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21"/>
      <name val="Arial"/>
      <family val="2"/>
      <charset val="204"/>
    </font>
    <font>
      <i/>
      <sz val="9"/>
      <color theme="1"/>
      <name val="Arial Cyr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i/>
      <sz val="9"/>
      <name val="Arial Cyr"/>
      <family val="2"/>
      <charset val="204"/>
    </font>
    <font>
      <i/>
      <sz val="9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name val="Arial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63"/>
      <name val="Arial Cyr"/>
      <charset val="204"/>
    </font>
    <font>
      <i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rgb="FFACC8BD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6" fillId="0" borderId="0"/>
  </cellStyleXfs>
  <cellXfs count="222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12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9" fillId="2" borderId="0" xfId="0" applyFont="1" applyFill="1" applyBorder="1"/>
    <xf numFmtId="0" fontId="14" fillId="2" borderId="0" xfId="0" applyFont="1" applyFill="1" applyBorder="1"/>
    <xf numFmtId="0" fontId="14" fillId="2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1" xfId="0" applyFill="1" applyBorder="1"/>
    <xf numFmtId="0" fontId="18" fillId="0" borderId="1" xfId="0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wrapText="1"/>
    </xf>
    <xf numFmtId="0" fontId="18" fillId="0" borderId="1" xfId="1" applyNumberFormat="1" applyFont="1" applyFill="1" applyBorder="1" applyAlignment="1">
      <alignment horizontal="right" wrapText="1"/>
    </xf>
    <xf numFmtId="0" fontId="18" fillId="0" borderId="1" xfId="0" applyNumberFormat="1" applyFont="1" applyFill="1" applyBorder="1" applyAlignment="1">
      <alignment horizontal="right" wrapText="1"/>
    </xf>
    <xf numFmtId="0" fontId="22" fillId="0" borderId="1" xfId="0" applyNumberFormat="1" applyFont="1" applyFill="1" applyBorder="1" applyAlignment="1">
      <alignment horizontal="right" wrapText="1"/>
    </xf>
    <xf numFmtId="0" fontId="7" fillId="0" borderId="1" xfId="1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" fillId="3" borderId="0" xfId="0" applyFont="1" applyFill="1" applyBorder="1"/>
    <xf numFmtId="0" fontId="7" fillId="0" borderId="1" xfId="2" applyNumberFormat="1" applyFont="1" applyFill="1" applyBorder="1" applyAlignment="1">
      <alignment horizontal="right" wrapText="1"/>
    </xf>
    <xf numFmtId="0" fontId="1" fillId="4" borderId="0" xfId="0" applyFont="1" applyFill="1" applyBorder="1"/>
    <xf numFmtId="4" fontId="6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4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4" fontId="11" fillId="0" borderId="1" xfId="1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right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right" wrapText="1"/>
    </xf>
    <xf numFmtId="0" fontId="23" fillId="0" borderId="1" xfId="1" applyNumberFormat="1" applyFont="1" applyFill="1" applyBorder="1" applyAlignment="1">
      <alignment horizontal="right" wrapText="1"/>
    </xf>
    <xf numFmtId="0" fontId="23" fillId="0" borderId="1" xfId="2" applyNumberFormat="1" applyFont="1" applyFill="1" applyBorder="1" applyAlignment="1">
      <alignment horizontal="right" wrapText="1"/>
    </xf>
    <xf numFmtId="0" fontId="23" fillId="0" borderId="1" xfId="2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right" wrapText="1"/>
    </xf>
    <xf numFmtId="0" fontId="29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0" xfId="0" applyFont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right" wrapText="1"/>
    </xf>
    <xf numFmtId="14" fontId="18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23" fillId="0" borderId="1" xfId="1" applyFont="1" applyFill="1" applyBorder="1" applyAlignment="1">
      <alignment horizontal="right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1" fontId="1" fillId="0" borderId="6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4" fontId="6" fillId="0" borderId="1" xfId="1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center" vertical="center"/>
    </xf>
    <xf numFmtId="4" fontId="31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" fontId="3" fillId="0" borderId="1" xfId="0" applyNumberFormat="1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horizontal="right" vertical="top" wrapText="1"/>
    </xf>
    <xf numFmtId="4" fontId="1" fillId="0" borderId="1" xfId="5" applyNumberFormat="1" applyFont="1" applyFill="1" applyBorder="1"/>
    <xf numFmtId="2" fontId="17" fillId="0" borderId="1" xfId="0" applyNumberFormat="1" applyFont="1" applyFill="1" applyBorder="1" applyAlignment="1">
      <alignment horizontal="right" vertical="top" wrapText="1"/>
    </xf>
    <xf numFmtId="0" fontId="31" fillId="0" borderId="1" xfId="0" applyFont="1" applyFill="1" applyBorder="1" applyAlignment="1">
      <alignment horizontal="right" wrapText="1"/>
    </xf>
    <xf numFmtId="0" fontId="32" fillId="0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2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37" fillId="0" borderId="1" xfId="1" applyNumberFormat="1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wrapText="1"/>
    </xf>
    <xf numFmtId="4" fontId="3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wrapText="1"/>
    </xf>
    <xf numFmtId="0" fontId="37" fillId="0" borderId="1" xfId="0" applyFont="1" applyFill="1" applyBorder="1" applyAlignment="1">
      <alignment vertical="center"/>
    </xf>
    <xf numFmtId="0" fontId="18" fillId="0" borderId="9" xfId="0" applyNumberFormat="1" applyFont="1" applyFill="1" applyBorder="1" applyAlignment="1">
      <alignment horizontal="right" wrapText="1"/>
    </xf>
    <xf numFmtId="0" fontId="0" fillId="0" borderId="1" xfId="0" applyFill="1" applyBorder="1" applyAlignment="1"/>
    <xf numFmtId="14" fontId="1" fillId="0" borderId="2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right" wrapText="1"/>
    </xf>
    <xf numFmtId="14" fontId="18" fillId="0" borderId="1" xfId="0" applyNumberFormat="1" applyFont="1" applyFill="1" applyBorder="1" applyAlignment="1">
      <alignment horizontal="right" wrapText="1"/>
    </xf>
    <xf numFmtId="14" fontId="32" fillId="0" borderId="1" xfId="0" applyNumberFormat="1" applyFont="1" applyFill="1" applyBorder="1" applyAlignment="1">
      <alignment horizontal="right"/>
    </xf>
    <xf numFmtId="14" fontId="32" fillId="0" borderId="1" xfId="0" applyNumberFormat="1" applyFont="1" applyFill="1" applyBorder="1" applyAlignment="1">
      <alignment horizontal="right" wrapText="1"/>
    </xf>
    <xf numFmtId="49" fontId="32" fillId="0" borderId="1" xfId="0" applyNumberFormat="1" applyFont="1" applyFill="1" applyBorder="1" applyAlignment="1">
      <alignment horizontal="right" wrapText="1"/>
    </xf>
    <xf numFmtId="0" fontId="26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right" vertical="top" wrapText="1"/>
    </xf>
    <xf numFmtId="4" fontId="35" fillId="0" borderId="12" xfId="0" applyNumberFormat="1" applyFont="1" applyFill="1" applyBorder="1" applyAlignment="1">
      <alignment horizontal="right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9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right" wrapText="1"/>
    </xf>
    <xf numFmtId="0" fontId="23" fillId="0" borderId="18" xfId="0" applyFont="1" applyFill="1" applyBorder="1" applyAlignment="1">
      <alignment horizontal="right" wrapText="1"/>
    </xf>
    <xf numFmtId="2" fontId="37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right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 wrapText="1"/>
    </xf>
    <xf numFmtId="4" fontId="1" fillId="0" borderId="1" xfId="4" applyNumberFormat="1" applyFont="1" applyFill="1" applyBorder="1" applyAlignment="1">
      <alignment horizontal="center" vertical="center"/>
    </xf>
    <xf numFmtId="4" fontId="1" fillId="0" borderId="1" xfId="2" applyNumberFormat="1" applyFont="1" applyFill="1" applyBorder="1" applyAlignment="1">
      <alignment horizontal="center" vertical="center"/>
    </xf>
    <xf numFmtId="4" fontId="37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13" fillId="0" borderId="15" xfId="2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1" fillId="0" borderId="1" xfId="2" applyNumberFormat="1" applyFont="1" applyFill="1" applyBorder="1" applyAlignment="1">
      <alignment horizontal="center" vertical="center"/>
    </xf>
    <xf numFmtId="14" fontId="41" fillId="0" borderId="1" xfId="2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right" wrapText="1"/>
    </xf>
    <xf numFmtId="0" fontId="23" fillId="0" borderId="16" xfId="0" applyNumberFormat="1" applyFont="1" applyFill="1" applyBorder="1" applyAlignment="1">
      <alignment horizontal="right" wrapText="1"/>
    </xf>
    <xf numFmtId="0" fontId="23" fillId="0" borderId="1" xfId="5" applyFont="1" applyFill="1" applyBorder="1" applyAlignment="1">
      <alignment horizontal="right" wrapText="1"/>
    </xf>
    <xf numFmtId="0" fontId="5" fillId="0" borderId="1" xfId="1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ont="1" applyFill="1" applyBorder="1"/>
    <xf numFmtId="0" fontId="6" fillId="2" borderId="1" xfId="0" applyFont="1" applyFill="1" applyBorder="1"/>
    <xf numFmtId="0" fontId="1" fillId="3" borderId="1" xfId="0" applyFont="1" applyFill="1" applyBorder="1"/>
    <xf numFmtId="0" fontId="14" fillId="2" borderId="1" xfId="0" applyFont="1" applyFill="1" applyBorder="1"/>
    <xf numFmtId="0" fontId="9" fillId="2" borderId="1" xfId="0" applyFont="1" applyFill="1" applyBorder="1"/>
    <xf numFmtId="0" fontId="1" fillId="4" borderId="1" xfId="0" applyFont="1" applyFill="1" applyBorder="1"/>
    <xf numFmtId="0" fontId="1" fillId="0" borderId="1" xfId="0" applyFont="1" applyBorder="1"/>
    <xf numFmtId="0" fontId="25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8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2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42" fillId="5" borderId="1" xfId="0" applyFont="1" applyFill="1" applyBorder="1"/>
    <xf numFmtId="0" fontId="0" fillId="5" borderId="1" xfId="0" applyFont="1" applyFill="1" applyBorder="1"/>
  </cellXfs>
  <cellStyles count="7">
    <cellStyle name="Excel Built-in Excel Built-in Excel Built-in Excel Built-in Excel Built-in Excel Built-in Excel Built-in Excel Built-in Excel Built-in Обычный_инвентаризация" xfId="6"/>
    <cellStyle name="Excel Built-in Normal" xfId="5"/>
    <cellStyle name="TableStyleLight1" xfId="4"/>
    <cellStyle name="Обычный" xfId="0" builtinId="0"/>
    <cellStyle name="Обычный 2" xfId="3"/>
    <cellStyle name="Обычный_инвентаризация" xfId="1"/>
    <cellStyle name="Обычный_Лист1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us/&#1056;&#1072;&#1073;&#1086;&#1095;&#1080;&#1081;%20&#1089;&#1090;&#1086;&#1083;/&#1076;&#1086;&#1082;&#1091;&#1084;&#1077;&#1085;&#1090;&#1099;/&#1048;&#1085;&#1074;&#1077;&#1085;&#1090;&#1072;&#1088;&#1080;&#1079;&#1072;&#1094;&#1080;&#1103;%20&#1054;&#1057;/&#1048;&#1085;&#1074;&#1077;&#1085;&#1090;&#1072;&#1088;&#1080;&#1079;&#1072;&#1094;&#1080;&#1103;%2030.06.2018%20&#1088;&#1072;&#1073;&#1086;&#1095;&#1080;&#1077;%20&#1076;&#1086;&#1082;&#1091;&#1084;&#1077;&#1085;&#1090;&#1099;/&#1052;&#1080;&#1083;&#1083;&#1077;&#1088;&#1086;&#1074;&#1086;/&#1050;&#1086;&#1087;&#1080;&#1103;%20&#1052;&#1080;&#1083;&#1083;&#1077;&#1088;&#1086;&#1074;&#108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21">
          <cell r="A21" t="str">
            <v>Г-ввод ул.Колхозная,58,г.Миллерово, к НГ ул.Фурманова,Пенькова,Машиностроителей,г.Миллерово,аренда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N1447"/>
  <sheetViews>
    <sheetView tabSelected="1" view="pageBreakPreview" zoomScale="115" zoomScaleNormal="120" zoomScaleSheetLayoutView="115" workbookViewId="0">
      <pane xSplit="4" ySplit="8" topLeftCell="H249" activePane="bottomRight" state="frozen"/>
      <selection pane="topRight" activeCell="E1" sqref="E1"/>
      <selection pane="bottomLeft" activeCell="A9" sqref="A9"/>
      <selection pane="bottomRight" activeCell="C295" sqref="C295"/>
    </sheetView>
  </sheetViews>
  <sheetFormatPr defaultColWidth="11.33203125" defaultRowHeight="12" outlineLevelRow="1" x14ac:dyDescent="0.2"/>
  <cols>
    <col min="1" max="1" width="64.33203125" style="26" customWidth="1"/>
    <col min="2" max="3" width="19.5" style="105" customWidth="1"/>
    <col min="4" max="4" width="17.83203125" style="96" customWidth="1"/>
    <col min="5" max="5" width="23.6640625" style="97" customWidth="1"/>
    <col min="6" max="6" width="24.6640625" style="97" customWidth="1"/>
    <col min="7" max="7" width="25.33203125" style="97" customWidth="1"/>
    <col min="8" max="8" width="23.5" style="64" customWidth="1"/>
    <col min="9" max="9" width="24.33203125" style="64" customWidth="1"/>
    <col min="10" max="10" width="14.1640625" style="98" customWidth="1"/>
    <col min="11" max="11" width="16" style="16" customWidth="1"/>
    <col min="12" max="12" width="29" style="1" customWidth="1"/>
    <col min="13" max="16384" width="11.33203125" style="1"/>
  </cols>
  <sheetData>
    <row r="1" spans="1:12" ht="12" customHeight="1" x14ac:dyDescent="0.2">
      <c r="A1" s="199" t="s">
        <v>939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12" customHeight="1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2" ht="12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2" ht="12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2" ht="12" customHeight="1" x14ac:dyDescent="0.2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</row>
    <row r="6" spans="1:12" ht="25.5" customHeight="1" thickBo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</row>
    <row r="7" spans="1:12" s="5" customFormat="1" ht="57" customHeight="1" thickBot="1" x14ac:dyDescent="0.25">
      <c r="A7" s="38" t="s">
        <v>15</v>
      </c>
      <c r="B7" s="100" t="s">
        <v>16</v>
      </c>
      <c r="C7" s="101" t="s">
        <v>13</v>
      </c>
      <c r="D7" s="76" t="s">
        <v>12</v>
      </c>
      <c r="E7" s="65" t="s">
        <v>27</v>
      </c>
      <c r="F7" s="65" t="s">
        <v>26</v>
      </c>
      <c r="G7" s="65" t="s">
        <v>17</v>
      </c>
      <c r="H7" s="39" t="s">
        <v>18</v>
      </c>
      <c r="I7" s="40" t="s">
        <v>19</v>
      </c>
      <c r="J7" s="77" t="s">
        <v>20</v>
      </c>
      <c r="K7" s="209" t="s">
        <v>21</v>
      </c>
      <c r="L7" s="213" t="s">
        <v>1424</v>
      </c>
    </row>
    <row r="8" spans="1:12" s="5" customFormat="1" ht="12.75" thickBot="1" x14ac:dyDescent="0.25">
      <c r="A8" s="41">
        <v>1</v>
      </c>
      <c r="B8" s="106">
        <v>1</v>
      </c>
      <c r="C8" s="106">
        <v>2</v>
      </c>
      <c r="D8" s="78">
        <v>4</v>
      </c>
      <c r="E8" s="66">
        <v>6</v>
      </c>
      <c r="F8" s="66">
        <v>5</v>
      </c>
      <c r="G8" s="66">
        <v>7</v>
      </c>
      <c r="H8" s="74">
        <v>8</v>
      </c>
      <c r="I8" s="74">
        <v>9</v>
      </c>
      <c r="J8" s="210">
        <v>10</v>
      </c>
      <c r="K8" s="211">
        <v>11</v>
      </c>
      <c r="L8" s="214">
        <v>12</v>
      </c>
    </row>
    <row r="9" spans="1:12" ht="23.25" customHeight="1" x14ac:dyDescent="0.2">
      <c r="A9" s="147" t="s">
        <v>22</v>
      </c>
      <c r="B9" s="102"/>
      <c r="C9" s="102"/>
      <c r="D9" s="79"/>
      <c r="E9" s="73"/>
      <c r="F9" s="73"/>
      <c r="G9" s="73"/>
      <c r="H9" s="63"/>
      <c r="I9" s="63"/>
      <c r="J9" s="80"/>
      <c r="K9" s="148"/>
      <c r="L9" s="212"/>
    </row>
    <row r="10" spans="1:12" ht="24" x14ac:dyDescent="0.2">
      <c r="A10" s="18" t="s">
        <v>218</v>
      </c>
      <c r="B10" s="103">
        <v>43069</v>
      </c>
      <c r="C10" s="103">
        <v>43465</v>
      </c>
      <c r="D10" s="194">
        <v>20</v>
      </c>
      <c r="E10" s="70">
        <v>462172.18</v>
      </c>
      <c r="F10" s="14"/>
      <c r="G10" s="70">
        <v>6817.04</v>
      </c>
      <c r="H10" s="52">
        <f t="shared" ref="H10:H141" si="0">F10+E10+G10</f>
        <v>468989.22</v>
      </c>
      <c r="I10" s="52">
        <f>H10</f>
        <v>468989.22</v>
      </c>
      <c r="J10" s="81"/>
      <c r="K10" s="149"/>
      <c r="L10" s="201"/>
    </row>
    <row r="11" spans="1:12" ht="24" x14ac:dyDescent="0.2">
      <c r="A11" s="21" t="s">
        <v>29</v>
      </c>
      <c r="B11" s="103">
        <v>41891</v>
      </c>
      <c r="C11" s="103">
        <v>43465</v>
      </c>
      <c r="D11" s="194">
        <v>95</v>
      </c>
      <c r="E11" s="69">
        <f>3582950+509105.08</f>
        <v>4092055.08</v>
      </c>
      <c r="F11" s="14">
        <f>94499734.35+21860765.76</f>
        <v>116360500.11</v>
      </c>
      <c r="G11" s="14">
        <f>67885.5+1743016.66+203126+912255+189543+385226</f>
        <v>3501052.16</v>
      </c>
      <c r="H11" s="52">
        <f t="shared" si="0"/>
        <v>123953607.34999999</v>
      </c>
      <c r="I11" s="52">
        <f t="shared" ref="I11:I140" si="1">H11</f>
        <v>123953607.34999999</v>
      </c>
      <c r="J11" s="82"/>
      <c r="K11" s="14"/>
      <c r="L11" s="216" t="s">
        <v>1425</v>
      </c>
    </row>
    <row r="12" spans="1:12" ht="12.75" x14ac:dyDescent="0.2">
      <c r="A12" s="21" t="s">
        <v>219</v>
      </c>
      <c r="B12" s="103">
        <v>42916</v>
      </c>
      <c r="C12" s="103">
        <v>43800</v>
      </c>
      <c r="D12" s="194">
        <v>40</v>
      </c>
      <c r="E12" s="69">
        <v>129281.25</v>
      </c>
      <c r="F12" s="14"/>
      <c r="G12" s="14">
        <v>143997.88</v>
      </c>
      <c r="H12" s="52">
        <f t="shared" si="0"/>
        <v>273279.13</v>
      </c>
      <c r="I12" s="52">
        <f t="shared" si="1"/>
        <v>273279.13</v>
      </c>
      <c r="J12" s="82"/>
      <c r="K12" s="14"/>
      <c r="L12" s="201"/>
    </row>
    <row r="13" spans="1:12" ht="31.5" customHeight="1" x14ac:dyDescent="0.2">
      <c r="A13" s="18" t="s">
        <v>207</v>
      </c>
      <c r="B13" s="103">
        <v>1980</v>
      </c>
      <c r="C13" s="103">
        <v>43190</v>
      </c>
      <c r="D13" s="194">
        <v>15</v>
      </c>
      <c r="E13" s="70"/>
      <c r="F13" s="14">
        <v>1159171.18</v>
      </c>
      <c r="G13" s="14">
        <v>7369.34</v>
      </c>
      <c r="H13" s="52">
        <f t="shared" si="0"/>
        <v>1166540.52</v>
      </c>
      <c r="I13" s="52">
        <f>H13</f>
        <v>1166540.52</v>
      </c>
      <c r="J13" s="17"/>
      <c r="K13" s="17"/>
      <c r="L13" s="201"/>
    </row>
    <row r="14" spans="1:12" ht="27" customHeight="1" x14ac:dyDescent="0.2">
      <c r="A14" s="18" t="s">
        <v>934</v>
      </c>
      <c r="B14" s="103">
        <v>43281</v>
      </c>
      <c r="C14" s="103">
        <v>43800</v>
      </c>
      <c r="D14" s="195">
        <v>3</v>
      </c>
      <c r="E14" s="14"/>
      <c r="F14" s="14"/>
      <c r="G14" s="14">
        <v>18704.37</v>
      </c>
      <c r="H14" s="52">
        <f>F14+E14+G14</f>
        <v>18704.37</v>
      </c>
      <c r="I14" s="52">
        <f>H14</f>
        <v>18704.37</v>
      </c>
      <c r="J14" s="19"/>
      <c r="K14" s="14"/>
      <c r="L14" s="201"/>
    </row>
    <row r="15" spans="1:12" ht="12" customHeight="1" x14ac:dyDescent="0.2">
      <c r="A15" s="18" t="s">
        <v>935</v>
      </c>
      <c r="B15" s="103">
        <v>43281</v>
      </c>
      <c r="C15" s="103">
        <v>43800</v>
      </c>
      <c r="D15" s="195">
        <v>3</v>
      </c>
      <c r="E15" s="14"/>
      <c r="F15" s="14"/>
      <c r="G15" s="14">
        <v>25855.439999999999</v>
      </c>
      <c r="H15" s="52">
        <f>F15+E15+G15</f>
        <v>25855.439999999999</v>
      </c>
      <c r="I15" s="52">
        <f>H15</f>
        <v>25855.439999999999</v>
      </c>
      <c r="J15" s="19"/>
      <c r="K15" s="14"/>
      <c r="L15" s="201"/>
    </row>
    <row r="16" spans="1:12" ht="12" customHeight="1" x14ac:dyDescent="0.2">
      <c r="A16" s="18" t="s">
        <v>936</v>
      </c>
      <c r="B16" s="103">
        <v>43281</v>
      </c>
      <c r="C16" s="103">
        <v>43800</v>
      </c>
      <c r="D16" s="195">
        <v>3</v>
      </c>
      <c r="E16" s="14"/>
      <c r="F16" s="14"/>
      <c r="G16" s="14">
        <v>16054.24</v>
      </c>
      <c r="H16" s="52">
        <f>F16+E16+G16</f>
        <v>16054.24</v>
      </c>
      <c r="I16" s="52">
        <f>H16</f>
        <v>16054.24</v>
      </c>
      <c r="J16" s="19"/>
      <c r="K16" s="14"/>
      <c r="L16" s="201"/>
    </row>
    <row r="17" spans="1:12" ht="29.25" customHeight="1" x14ac:dyDescent="0.2">
      <c r="A17" s="18" t="s">
        <v>947</v>
      </c>
      <c r="B17" s="103">
        <v>43281</v>
      </c>
      <c r="C17" s="103">
        <v>43800</v>
      </c>
      <c r="D17" s="195">
        <v>3</v>
      </c>
      <c r="E17" s="14"/>
      <c r="F17" s="14"/>
      <c r="G17" s="14">
        <v>8585.1200000000008</v>
      </c>
      <c r="H17" s="52">
        <f>F17+E17+G17</f>
        <v>8585.1200000000008</v>
      </c>
      <c r="I17" s="52">
        <f>H17</f>
        <v>8585.1200000000008</v>
      </c>
      <c r="J17" s="19"/>
      <c r="K17" s="14"/>
      <c r="L17" s="201"/>
    </row>
    <row r="18" spans="1:12" ht="24" x14ac:dyDescent="0.2">
      <c r="A18" s="21" t="s">
        <v>39</v>
      </c>
      <c r="B18" s="103">
        <v>41547</v>
      </c>
      <c r="C18" s="103">
        <v>43464</v>
      </c>
      <c r="D18" s="194">
        <v>40</v>
      </c>
      <c r="E18" s="14">
        <f>377118.64+20000</f>
        <v>397118.64</v>
      </c>
      <c r="F18" s="14"/>
      <c r="G18" s="14">
        <v>7539.41</v>
      </c>
      <c r="H18" s="52">
        <f t="shared" si="0"/>
        <v>404658.05</v>
      </c>
      <c r="I18" s="52">
        <f t="shared" si="1"/>
        <v>404658.05</v>
      </c>
      <c r="J18" s="82"/>
      <c r="K18" s="14"/>
      <c r="L18" s="201"/>
    </row>
    <row r="19" spans="1:12" ht="24" x14ac:dyDescent="0.2">
      <c r="A19" s="21" t="s">
        <v>14</v>
      </c>
      <c r="B19" s="103">
        <v>41268</v>
      </c>
      <c r="C19" s="103">
        <v>43617</v>
      </c>
      <c r="D19" s="194">
        <v>50</v>
      </c>
      <c r="E19" s="69">
        <f>5243373.83+5146764.69</f>
        <v>10390138.52</v>
      </c>
      <c r="F19" s="14">
        <f>11875462.66+4790060.24+105316</f>
        <v>16770838.9</v>
      </c>
      <c r="G19" s="14">
        <f>124311.16+1157162.23</f>
        <v>1281473.3899999999</v>
      </c>
      <c r="H19" s="52">
        <f t="shared" si="0"/>
        <v>28442450.810000002</v>
      </c>
      <c r="I19" s="52">
        <f t="shared" si="1"/>
        <v>28442450.810000002</v>
      </c>
      <c r="J19" s="82"/>
      <c r="K19" s="14"/>
      <c r="L19" s="216" t="s">
        <v>1426</v>
      </c>
    </row>
    <row r="20" spans="1:12" ht="24" customHeight="1" x14ac:dyDescent="0.2">
      <c r="A20" s="21" t="s">
        <v>23</v>
      </c>
      <c r="B20" s="103">
        <v>41547</v>
      </c>
      <c r="C20" s="103">
        <v>43313</v>
      </c>
      <c r="D20" s="194">
        <v>95</v>
      </c>
      <c r="E20" s="14">
        <v>296610.17</v>
      </c>
      <c r="F20" s="14">
        <f>3999861.49+7182395.78+2229154.65</f>
        <v>13411411.92</v>
      </c>
      <c r="G20" s="14">
        <v>188706.17</v>
      </c>
      <c r="H20" s="52">
        <f t="shared" si="0"/>
        <v>13896728.26</v>
      </c>
      <c r="I20" s="52">
        <f t="shared" si="1"/>
        <v>13896728.26</v>
      </c>
      <c r="J20" s="82"/>
      <c r="K20" s="14"/>
      <c r="L20" s="219"/>
    </row>
    <row r="21" spans="1:12" ht="24" customHeight="1" x14ac:dyDescent="0.2">
      <c r="A21" s="21" t="s">
        <v>24</v>
      </c>
      <c r="B21" s="103">
        <v>41547</v>
      </c>
      <c r="C21" s="103">
        <v>43313</v>
      </c>
      <c r="D21" s="194">
        <v>95</v>
      </c>
      <c r="E21" s="14">
        <v>186440.68</v>
      </c>
      <c r="F21" s="14">
        <f>2997814.91+4063643.54+1146865.28</f>
        <v>8208323.7300000004</v>
      </c>
      <c r="G21" s="14">
        <v>118766.88</v>
      </c>
      <c r="H21" s="52">
        <f t="shared" si="0"/>
        <v>8513531.290000001</v>
      </c>
      <c r="I21" s="52">
        <f t="shared" si="1"/>
        <v>8513531.290000001</v>
      </c>
      <c r="J21" s="82"/>
      <c r="K21" s="14"/>
      <c r="L21" s="201"/>
    </row>
    <row r="22" spans="1:12" ht="24" customHeight="1" x14ac:dyDescent="0.2">
      <c r="A22" s="21" t="s">
        <v>946</v>
      </c>
      <c r="B22" s="103">
        <v>43281</v>
      </c>
      <c r="C22" s="103">
        <v>43800</v>
      </c>
      <c r="D22" s="194">
        <v>3</v>
      </c>
      <c r="E22" s="14"/>
      <c r="F22" s="14"/>
      <c r="G22" s="14">
        <v>2642.52</v>
      </c>
      <c r="H22" s="52">
        <f t="shared" si="0"/>
        <v>2642.52</v>
      </c>
      <c r="I22" s="52">
        <f t="shared" si="1"/>
        <v>2642.52</v>
      </c>
      <c r="J22" s="82"/>
      <c r="K22" s="14"/>
      <c r="L22" s="201"/>
    </row>
    <row r="23" spans="1:12" ht="24" x14ac:dyDescent="0.2">
      <c r="A23" s="22" t="s">
        <v>220</v>
      </c>
      <c r="B23" s="103">
        <v>43069</v>
      </c>
      <c r="C23" s="103">
        <v>43464</v>
      </c>
      <c r="D23" s="194">
        <v>50</v>
      </c>
      <c r="E23" s="70"/>
      <c r="F23" s="70">
        <v>185620.84</v>
      </c>
      <c r="G23" s="70">
        <v>2737.91</v>
      </c>
      <c r="H23" s="52">
        <f t="shared" si="0"/>
        <v>188358.75</v>
      </c>
      <c r="I23" s="52">
        <f t="shared" si="1"/>
        <v>188358.75</v>
      </c>
      <c r="J23" s="82"/>
      <c r="K23" s="14"/>
      <c r="L23" s="201"/>
    </row>
    <row r="24" spans="1:12" ht="36" x14ac:dyDescent="0.2">
      <c r="A24" s="22" t="s">
        <v>221</v>
      </c>
      <c r="B24" s="103">
        <v>43069</v>
      </c>
      <c r="C24" s="103">
        <v>43465</v>
      </c>
      <c r="D24" s="194">
        <v>40</v>
      </c>
      <c r="E24" s="70">
        <v>394687.11</v>
      </c>
      <c r="F24" s="70"/>
      <c r="G24" s="70">
        <v>5821.64</v>
      </c>
      <c r="H24" s="52">
        <f t="shared" si="0"/>
        <v>400508.75</v>
      </c>
      <c r="I24" s="52">
        <f t="shared" si="1"/>
        <v>400508.75</v>
      </c>
      <c r="J24" s="82"/>
      <c r="K24" s="14"/>
      <c r="L24" s="201"/>
    </row>
    <row r="25" spans="1:12" x14ac:dyDescent="0.2">
      <c r="A25" s="18" t="s">
        <v>222</v>
      </c>
      <c r="B25" s="103">
        <v>43069</v>
      </c>
      <c r="C25" s="103">
        <v>43464</v>
      </c>
      <c r="D25" s="194">
        <v>40</v>
      </c>
      <c r="E25" s="14">
        <v>174478.69</v>
      </c>
      <c r="F25" s="14"/>
      <c r="G25" s="14">
        <v>2573.56</v>
      </c>
      <c r="H25" s="52">
        <f t="shared" si="0"/>
        <v>177052.25</v>
      </c>
      <c r="I25" s="52">
        <f t="shared" si="1"/>
        <v>177052.25</v>
      </c>
      <c r="J25" s="83"/>
      <c r="K25" s="75"/>
      <c r="L25" s="201"/>
    </row>
    <row r="26" spans="1:12" ht="24" x14ac:dyDescent="0.2">
      <c r="A26" s="18" t="s">
        <v>223</v>
      </c>
      <c r="B26" s="103">
        <v>43069</v>
      </c>
      <c r="C26" s="103">
        <v>43464</v>
      </c>
      <c r="D26" s="194">
        <v>40</v>
      </c>
      <c r="E26" s="14">
        <v>174478.69</v>
      </c>
      <c r="F26" s="14"/>
      <c r="G26" s="14">
        <v>2573.56</v>
      </c>
      <c r="H26" s="52">
        <f t="shared" si="0"/>
        <v>177052.25</v>
      </c>
      <c r="I26" s="52">
        <f t="shared" ref="I26" si="2">H26</f>
        <v>177052.25</v>
      </c>
      <c r="J26" s="83"/>
      <c r="K26" s="75"/>
      <c r="L26" s="201"/>
    </row>
    <row r="27" spans="1:12" ht="36" x14ac:dyDescent="0.2">
      <c r="A27" s="18" t="s">
        <v>224</v>
      </c>
      <c r="B27" s="103">
        <v>43069</v>
      </c>
      <c r="C27" s="103">
        <v>43464</v>
      </c>
      <c r="D27" s="194">
        <v>40</v>
      </c>
      <c r="E27" s="14">
        <v>174478.68</v>
      </c>
      <c r="F27" s="14"/>
      <c r="G27" s="14">
        <v>2573.56</v>
      </c>
      <c r="H27" s="52">
        <f t="shared" si="0"/>
        <v>177052.24</v>
      </c>
      <c r="I27" s="52">
        <f t="shared" ref="I27:I32" si="3">H27</f>
        <v>177052.24</v>
      </c>
      <c r="J27" s="83"/>
      <c r="K27" s="75"/>
      <c r="L27" s="201"/>
    </row>
    <row r="28" spans="1:12" ht="24" x14ac:dyDescent="0.2">
      <c r="A28" s="18" t="s">
        <v>225</v>
      </c>
      <c r="B28" s="103">
        <v>43069</v>
      </c>
      <c r="C28" s="103">
        <v>43464</v>
      </c>
      <c r="D28" s="194">
        <v>40</v>
      </c>
      <c r="E28" s="14">
        <v>174478.69</v>
      </c>
      <c r="F28" s="14"/>
      <c r="G28" s="14">
        <v>2573.56</v>
      </c>
      <c r="H28" s="52">
        <f t="shared" si="0"/>
        <v>177052.25</v>
      </c>
      <c r="I28" s="52">
        <f t="shared" si="3"/>
        <v>177052.25</v>
      </c>
      <c r="J28" s="83"/>
      <c r="K28" s="75"/>
      <c r="L28" s="201"/>
    </row>
    <row r="29" spans="1:12" x14ac:dyDescent="0.2">
      <c r="A29" s="18" t="s">
        <v>226</v>
      </c>
      <c r="B29" s="103">
        <v>43069</v>
      </c>
      <c r="C29" s="103">
        <v>43464</v>
      </c>
      <c r="D29" s="194">
        <v>40</v>
      </c>
      <c r="E29" s="14">
        <v>174478.69</v>
      </c>
      <c r="F29" s="14"/>
      <c r="G29" s="14">
        <v>2573.56</v>
      </c>
      <c r="H29" s="52">
        <f t="shared" si="0"/>
        <v>177052.25</v>
      </c>
      <c r="I29" s="52">
        <f t="shared" si="3"/>
        <v>177052.25</v>
      </c>
      <c r="J29" s="83"/>
      <c r="K29" s="75"/>
      <c r="L29" s="201"/>
    </row>
    <row r="30" spans="1:12" x14ac:dyDescent="0.2">
      <c r="A30" s="18" t="s">
        <v>227</v>
      </c>
      <c r="B30" s="103">
        <v>43069</v>
      </c>
      <c r="C30" s="103">
        <v>43464</v>
      </c>
      <c r="D30" s="194">
        <v>40</v>
      </c>
      <c r="E30" s="14">
        <v>174478.69</v>
      </c>
      <c r="F30" s="14"/>
      <c r="G30" s="14">
        <v>2573.56</v>
      </c>
      <c r="H30" s="52">
        <f t="shared" si="0"/>
        <v>177052.25</v>
      </c>
      <c r="I30" s="52">
        <f t="shared" si="3"/>
        <v>177052.25</v>
      </c>
      <c r="J30" s="83"/>
      <c r="K30" s="75"/>
      <c r="L30" s="201"/>
    </row>
    <row r="31" spans="1:12" ht="12" customHeight="1" x14ac:dyDescent="0.2">
      <c r="A31" s="18" t="s">
        <v>119</v>
      </c>
      <c r="B31" s="103">
        <v>42825</v>
      </c>
      <c r="C31" s="104">
        <v>43830</v>
      </c>
      <c r="D31" s="195">
        <v>50</v>
      </c>
      <c r="E31" s="14">
        <f>877255.86+4038899.1</f>
        <v>4916154.96</v>
      </c>
      <c r="F31" s="14">
        <v>17057.2</v>
      </c>
      <c r="G31" s="14">
        <v>71287</v>
      </c>
      <c r="H31" s="52">
        <f t="shared" si="0"/>
        <v>5004499.16</v>
      </c>
      <c r="I31" s="52">
        <f t="shared" si="3"/>
        <v>5004499.16</v>
      </c>
      <c r="J31" s="82"/>
      <c r="K31" s="14"/>
      <c r="L31" s="201"/>
    </row>
    <row r="32" spans="1:12" ht="32.25" customHeight="1" x14ac:dyDescent="0.2">
      <c r="A32" s="23" t="s">
        <v>228</v>
      </c>
      <c r="B32" s="103">
        <v>43089</v>
      </c>
      <c r="C32" s="103">
        <v>43463</v>
      </c>
      <c r="D32" s="194">
        <v>40</v>
      </c>
      <c r="E32" s="14">
        <v>13961.96</v>
      </c>
      <c r="F32" s="14"/>
      <c r="G32" s="14"/>
      <c r="H32" s="52">
        <f t="shared" si="0"/>
        <v>13961.96</v>
      </c>
      <c r="I32" s="52">
        <f t="shared" si="3"/>
        <v>13961.96</v>
      </c>
      <c r="J32" s="82"/>
      <c r="K32" s="14"/>
      <c r="L32" s="201"/>
    </row>
    <row r="33" spans="1:12" ht="12" customHeight="1" x14ac:dyDescent="0.2">
      <c r="A33" s="18" t="s">
        <v>55</v>
      </c>
      <c r="B33" s="103">
        <v>42475</v>
      </c>
      <c r="C33" s="104">
        <v>43556</v>
      </c>
      <c r="D33" s="195">
        <v>50</v>
      </c>
      <c r="E33" s="14">
        <f>116216.5+578783.5</f>
        <v>695000</v>
      </c>
      <c r="F33" s="14">
        <f>773103.42</f>
        <v>773103.42</v>
      </c>
      <c r="G33" s="14">
        <f>5562.5+17000+19830.12+97063.2</f>
        <v>139455.82</v>
      </c>
      <c r="H33" s="52">
        <f t="shared" si="0"/>
        <v>1607559.24</v>
      </c>
      <c r="I33" s="52">
        <f t="shared" si="1"/>
        <v>1607559.24</v>
      </c>
      <c r="J33" s="82"/>
      <c r="K33" s="14"/>
      <c r="L33" s="219"/>
    </row>
    <row r="34" spans="1:12" ht="12" customHeight="1" x14ac:dyDescent="0.2">
      <c r="A34" s="18" t="s">
        <v>948</v>
      </c>
      <c r="B34" s="103">
        <v>43281</v>
      </c>
      <c r="C34" s="103">
        <v>43800</v>
      </c>
      <c r="D34" s="195">
        <v>3</v>
      </c>
      <c r="E34" s="14"/>
      <c r="F34" s="14"/>
      <c r="G34" s="14">
        <v>10410.31</v>
      </c>
      <c r="H34" s="52">
        <f t="shared" si="0"/>
        <v>10410.31</v>
      </c>
      <c r="I34" s="52">
        <f t="shared" si="1"/>
        <v>10410.31</v>
      </c>
      <c r="J34" s="82"/>
      <c r="K34" s="14"/>
      <c r="L34" s="201"/>
    </row>
    <row r="35" spans="1:12" ht="24" customHeight="1" x14ac:dyDescent="0.2">
      <c r="A35" s="18" t="s">
        <v>949</v>
      </c>
      <c r="B35" s="103">
        <v>43281</v>
      </c>
      <c r="C35" s="103">
        <v>43800</v>
      </c>
      <c r="D35" s="195">
        <v>3</v>
      </c>
      <c r="E35" s="14"/>
      <c r="F35" s="14"/>
      <c r="G35" s="14">
        <v>10410.31</v>
      </c>
      <c r="H35" s="52">
        <f t="shared" si="0"/>
        <v>10410.31</v>
      </c>
      <c r="I35" s="52">
        <f t="shared" si="1"/>
        <v>10410.31</v>
      </c>
      <c r="J35" s="82"/>
      <c r="K35" s="14"/>
      <c r="L35" s="201"/>
    </row>
    <row r="36" spans="1:12" ht="24" customHeight="1" x14ac:dyDescent="0.2">
      <c r="A36" s="18" t="s">
        <v>950</v>
      </c>
      <c r="B36" s="103">
        <v>43281</v>
      </c>
      <c r="C36" s="103">
        <v>43800</v>
      </c>
      <c r="D36" s="195">
        <v>3</v>
      </c>
      <c r="E36" s="14"/>
      <c r="F36" s="14"/>
      <c r="G36" s="14">
        <v>9955.91</v>
      </c>
      <c r="H36" s="52">
        <f t="shared" si="0"/>
        <v>9955.91</v>
      </c>
      <c r="I36" s="52">
        <f t="shared" si="1"/>
        <v>9955.91</v>
      </c>
      <c r="J36" s="82"/>
      <c r="K36" s="14"/>
      <c r="L36" s="201"/>
    </row>
    <row r="37" spans="1:12" ht="24" customHeight="1" x14ac:dyDescent="0.2">
      <c r="A37" s="18" t="s">
        <v>951</v>
      </c>
      <c r="B37" s="103">
        <v>43281</v>
      </c>
      <c r="C37" s="103">
        <v>43800</v>
      </c>
      <c r="D37" s="195">
        <v>3</v>
      </c>
      <c r="E37" s="14"/>
      <c r="F37" s="14"/>
      <c r="G37" s="14">
        <v>7358.5</v>
      </c>
      <c r="H37" s="52">
        <f t="shared" si="0"/>
        <v>7358.5</v>
      </c>
      <c r="I37" s="52">
        <f t="shared" si="1"/>
        <v>7358.5</v>
      </c>
      <c r="J37" s="82"/>
      <c r="K37" s="14"/>
      <c r="L37" s="201"/>
    </row>
    <row r="38" spans="1:12" ht="29.25" customHeight="1" x14ac:dyDescent="0.2">
      <c r="A38" s="18" t="s">
        <v>832</v>
      </c>
      <c r="B38" s="103">
        <v>43280</v>
      </c>
      <c r="C38" s="104">
        <v>43312</v>
      </c>
      <c r="D38" s="195">
        <v>40</v>
      </c>
      <c r="E38" s="14"/>
      <c r="F38" s="14"/>
      <c r="G38" s="14">
        <f>907.7</f>
        <v>907.7</v>
      </c>
      <c r="H38" s="52">
        <f t="shared" si="0"/>
        <v>907.7</v>
      </c>
      <c r="I38" s="52">
        <f t="shared" si="1"/>
        <v>907.7</v>
      </c>
      <c r="J38" s="82"/>
      <c r="K38" s="14"/>
      <c r="L38" s="201"/>
    </row>
    <row r="39" spans="1:12" ht="12" customHeight="1" x14ac:dyDescent="0.2">
      <c r="A39" s="18" t="s">
        <v>833</v>
      </c>
      <c r="B39" s="103">
        <v>43280</v>
      </c>
      <c r="C39" s="104">
        <v>43312</v>
      </c>
      <c r="D39" s="195">
        <v>40</v>
      </c>
      <c r="E39" s="14"/>
      <c r="F39" s="14"/>
      <c r="G39" s="14">
        <f>907.7</f>
        <v>907.7</v>
      </c>
      <c r="H39" s="52">
        <f t="shared" si="0"/>
        <v>907.7</v>
      </c>
      <c r="I39" s="52">
        <f t="shared" si="1"/>
        <v>907.7</v>
      </c>
      <c r="J39" s="82"/>
      <c r="K39" s="14"/>
      <c r="L39" s="201"/>
    </row>
    <row r="40" spans="1:12" ht="12" customHeight="1" x14ac:dyDescent="0.2">
      <c r="A40" s="18" t="s">
        <v>834</v>
      </c>
      <c r="B40" s="103">
        <v>43280</v>
      </c>
      <c r="C40" s="104">
        <v>43312</v>
      </c>
      <c r="D40" s="195">
        <v>40</v>
      </c>
      <c r="E40" s="14"/>
      <c r="F40" s="14"/>
      <c r="G40" s="14">
        <f>907.7</f>
        <v>907.7</v>
      </c>
      <c r="H40" s="52">
        <f t="shared" si="0"/>
        <v>907.7</v>
      </c>
      <c r="I40" s="52">
        <f t="shared" si="1"/>
        <v>907.7</v>
      </c>
      <c r="J40" s="82"/>
      <c r="K40" s="14"/>
      <c r="L40" s="201"/>
    </row>
    <row r="41" spans="1:12" ht="12" customHeight="1" x14ac:dyDescent="0.2">
      <c r="A41" s="18" t="s">
        <v>835</v>
      </c>
      <c r="B41" s="103">
        <v>43280</v>
      </c>
      <c r="C41" s="104">
        <v>43312</v>
      </c>
      <c r="D41" s="195">
        <v>40</v>
      </c>
      <c r="E41" s="14"/>
      <c r="F41" s="14"/>
      <c r="G41" s="14">
        <f>907.7</f>
        <v>907.7</v>
      </c>
      <c r="H41" s="52">
        <f t="shared" si="0"/>
        <v>907.7</v>
      </c>
      <c r="I41" s="52">
        <f t="shared" si="1"/>
        <v>907.7</v>
      </c>
      <c r="J41" s="82"/>
      <c r="K41" s="14"/>
      <c r="L41" s="201"/>
    </row>
    <row r="42" spans="1:12" ht="12" customHeight="1" x14ac:dyDescent="0.2">
      <c r="A42" s="18" t="s">
        <v>836</v>
      </c>
      <c r="B42" s="103">
        <v>43280</v>
      </c>
      <c r="C42" s="104">
        <v>43312</v>
      </c>
      <c r="D42" s="195">
        <v>40</v>
      </c>
      <c r="E42" s="14"/>
      <c r="F42" s="14"/>
      <c r="G42" s="14">
        <v>907.7</v>
      </c>
      <c r="H42" s="52">
        <f t="shared" si="0"/>
        <v>907.7</v>
      </c>
      <c r="I42" s="52">
        <f t="shared" si="1"/>
        <v>907.7</v>
      </c>
      <c r="J42" s="82"/>
      <c r="K42" s="14"/>
      <c r="L42" s="201"/>
    </row>
    <row r="43" spans="1:12" ht="42" customHeight="1" x14ac:dyDescent="0.2">
      <c r="A43" s="18" t="s">
        <v>837</v>
      </c>
      <c r="B43" s="103">
        <v>43280</v>
      </c>
      <c r="C43" s="104">
        <v>43312</v>
      </c>
      <c r="D43" s="195">
        <v>40</v>
      </c>
      <c r="E43" s="14"/>
      <c r="F43" s="14"/>
      <c r="G43" s="14">
        <v>907.7</v>
      </c>
      <c r="H43" s="52">
        <f t="shared" si="0"/>
        <v>907.7</v>
      </c>
      <c r="I43" s="52">
        <f t="shared" si="1"/>
        <v>907.7</v>
      </c>
      <c r="J43" s="82"/>
      <c r="K43" s="14"/>
      <c r="L43" s="201"/>
    </row>
    <row r="44" spans="1:12" ht="27" customHeight="1" x14ac:dyDescent="0.2">
      <c r="A44" s="18" t="s">
        <v>838</v>
      </c>
      <c r="B44" s="103">
        <v>43280</v>
      </c>
      <c r="C44" s="104">
        <v>43312</v>
      </c>
      <c r="D44" s="195">
        <v>40</v>
      </c>
      <c r="E44" s="14"/>
      <c r="F44" s="14"/>
      <c r="G44" s="14">
        <v>907.7</v>
      </c>
      <c r="H44" s="52">
        <f t="shared" si="0"/>
        <v>907.7</v>
      </c>
      <c r="I44" s="52">
        <f t="shared" si="1"/>
        <v>907.7</v>
      </c>
      <c r="J44" s="82"/>
      <c r="K44" s="14"/>
      <c r="L44" s="201"/>
    </row>
    <row r="45" spans="1:12" ht="24" customHeight="1" x14ac:dyDescent="0.2">
      <c r="A45" s="18" t="s">
        <v>839</v>
      </c>
      <c r="B45" s="103">
        <v>43280</v>
      </c>
      <c r="C45" s="104">
        <v>43312</v>
      </c>
      <c r="D45" s="195">
        <v>40</v>
      </c>
      <c r="E45" s="14"/>
      <c r="F45" s="14"/>
      <c r="G45" s="14">
        <v>907.7</v>
      </c>
      <c r="H45" s="52">
        <f t="shared" si="0"/>
        <v>907.7</v>
      </c>
      <c r="I45" s="52">
        <f t="shared" si="1"/>
        <v>907.7</v>
      </c>
      <c r="J45" s="82"/>
      <c r="K45" s="14"/>
      <c r="L45" s="201"/>
    </row>
    <row r="46" spans="1:12" ht="25.5" customHeight="1" x14ac:dyDescent="0.2">
      <c r="A46" s="18" t="s">
        <v>840</v>
      </c>
      <c r="B46" s="103">
        <v>43280</v>
      </c>
      <c r="C46" s="104">
        <v>43312</v>
      </c>
      <c r="D46" s="195">
        <v>40</v>
      </c>
      <c r="E46" s="14"/>
      <c r="F46" s="14"/>
      <c r="G46" s="14">
        <v>907.7</v>
      </c>
      <c r="H46" s="52">
        <f t="shared" si="0"/>
        <v>907.7</v>
      </c>
      <c r="I46" s="52">
        <f t="shared" si="1"/>
        <v>907.7</v>
      </c>
      <c r="J46" s="82"/>
      <c r="K46" s="14"/>
      <c r="L46" s="201"/>
    </row>
    <row r="47" spans="1:12" ht="27.75" customHeight="1" x14ac:dyDescent="0.2">
      <c r="A47" s="18" t="s">
        <v>841</v>
      </c>
      <c r="B47" s="103">
        <v>43280</v>
      </c>
      <c r="C47" s="104">
        <v>43312</v>
      </c>
      <c r="D47" s="195">
        <v>40</v>
      </c>
      <c r="E47" s="14"/>
      <c r="F47" s="14"/>
      <c r="G47" s="14">
        <v>907.69</v>
      </c>
      <c r="H47" s="52">
        <f t="shared" si="0"/>
        <v>907.69</v>
      </c>
      <c r="I47" s="52">
        <f t="shared" si="1"/>
        <v>907.69</v>
      </c>
      <c r="J47" s="82"/>
      <c r="K47" s="14"/>
      <c r="L47" s="201"/>
    </row>
    <row r="48" spans="1:12" ht="27.75" customHeight="1" x14ac:dyDescent="0.2">
      <c r="A48" s="18" t="s">
        <v>842</v>
      </c>
      <c r="B48" s="103">
        <v>43280</v>
      </c>
      <c r="C48" s="104">
        <v>43312</v>
      </c>
      <c r="D48" s="195">
        <v>40</v>
      </c>
      <c r="E48" s="14"/>
      <c r="F48" s="14"/>
      <c r="G48" s="14">
        <v>907.69</v>
      </c>
      <c r="H48" s="52">
        <f t="shared" si="0"/>
        <v>907.69</v>
      </c>
      <c r="I48" s="52">
        <f t="shared" si="1"/>
        <v>907.69</v>
      </c>
      <c r="J48" s="82"/>
      <c r="K48" s="14"/>
      <c r="L48" s="201"/>
    </row>
    <row r="49" spans="1:12" ht="27.75" customHeight="1" x14ac:dyDescent="0.2">
      <c r="A49" s="18" t="s">
        <v>843</v>
      </c>
      <c r="B49" s="103">
        <v>43280</v>
      </c>
      <c r="C49" s="104">
        <v>43312</v>
      </c>
      <c r="D49" s="195">
        <v>40</v>
      </c>
      <c r="E49" s="14"/>
      <c r="F49" s="14"/>
      <c r="G49" s="14">
        <v>907.7</v>
      </c>
      <c r="H49" s="52">
        <f t="shared" si="0"/>
        <v>907.7</v>
      </c>
      <c r="I49" s="52">
        <f t="shared" si="1"/>
        <v>907.7</v>
      </c>
      <c r="J49" s="82"/>
      <c r="K49" s="14"/>
      <c r="L49" s="201"/>
    </row>
    <row r="50" spans="1:12" ht="27.75" customHeight="1" x14ac:dyDescent="0.2">
      <c r="A50" s="18" t="s">
        <v>844</v>
      </c>
      <c r="B50" s="103">
        <v>43280</v>
      </c>
      <c r="C50" s="104">
        <v>43312</v>
      </c>
      <c r="D50" s="195">
        <v>40</v>
      </c>
      <c r="E50" s="14"/>
      <c r="F50" s="14"/>
      <c r="G50" s="14">
        <v>907.7</v>
      </c>
      <c r="H50" s="52">
        <f t="shared" si="0"/>
        <v>907.7</v>
      </c>
      <c r="I50" s="52">
        <f t="shared" si="1"/>
        <v>907.7</v>
      </c>
      <c r="J50" s="82"/>
      <c r="K50" s="14"/>
      <c r="L50" s="201"/>
    </row>
    <row r="51" spans="1:12" ht="27.75" customHeight="1" x14ac:dyDescent="0.2">
      <c r="A51" s="18" t="s">
        <v>845</v>
      </c>
      <c r="B51" s="103">
        <v>43280</v>
      </c>
      <c r="C51" s="104">
        <v>43312</v>
      </c>
      <c r="D51" s="195">
        <v>40</v>
      </c>
      <c r="E51" s="14"/>
      <c r="F51" s="14"/>
      <c r="G51" s="14">
        <v>907.7</v>
      </c>
      <c r="H51" s="52">
        <f t="shared" si="0"/>
        <v>907.7</v>
      </c>
      <c r="I51" s="52">
        <f t="shared" si="1"/>
        <v>907.7</v>
      </c>
      <c r="J51" s="82"/>
      <c r="K51" s="14"/>
      <c r="L51" s="201"/>
    </row>
    <row r="52" spans="1:12" ht="27.75" customHeight="1" x14ac:dyDescent="0.2">
      <c r="A52" s="18" t="s">
        <v>846</v>
      </c>
      <c r="B52" s="103">
        <v>43280</v>
      </c>
      <c r="C52" s="104">
        <v>43312</v>
      </c>
      <c r="D52" s="195">
        <v>40</v>
      </c>
      <c r="E52" s="14"/>
      <c r="F52" s="14"/>
      <c r="G52" s="14">
        <v>907.7</v>
      </c>
      <c r="H52" s="52">
        <f t="shared" si="0"/>
        <v>907.7</v>
      </c>
      <c r="I52" s="52">
        <f t="shared" si="1"/>
        <v>907.7</v>
      </c>
      <c r="J52" s="82"/>
      <c r="K52" s="14"/>
      <c r="L52" s="201"/>
    </row>
    <row r="53" spans="1:12" ht="27.75" customHeight="1" x14ac:dyDescent="0.2">
      <c r="A53" s="18" t="s">
        <v>847</v>
      </c>
      <c r="B53" s="103">
        <v>43280</v>
      </c>
      <c r="C53" s="104">
        <v>43312</v>
      </c>
      <c r="D53" s="195">
        <v>40</v>
      </c>
      <c r="E53" s="14"/>
      <c r="F53" s="14"/>
      <c r="G53" s="14">
        <v>907.7</v>
      </c>
      <c r="H53" s="52">
        <f t="shared" si="0"/>
        <v>907.7</v>
      </c>
      <c r="I53" s="52">
        <f t="shared" si="1"/>
        <v>907.7</v>
      </c>
      <c r="J53" s="82"/>
      <c r="K53" s="14"/>
      <c r="L53" s="201"/>
    </row>
    <row r="54" spans="1:12" ht="27.75" customHeight="1" x14ac:dyDescent="0.2">
      <c r="A54" s="18" t="s">
        <v>848</v>
      </c>
      <c r="B54" s="103">
        <v>43280</v>
      </c>
      <c r="C54" s="104">
        <v>43312</v>
      </c>
      <c r="D54" s="195">
        <v>40</v>
      </c>
      <c r="E54" s="14"/>
      <c r="F54" s="14"/>
      <c r="G54" s="14">
        <v>907.7</v>
      </c>
      <c r="H54" s="52">
        <f t="shared" si="0"/>
        <v>907.7</v>
      </c>
      <c r="I54" s="52">
        <f t="shared" si="1"/>
        <v>907.7</v>
      </c>
      <c r="J54" s="82"/>
      <c r="K54" s="14"/>
      <c r="L54" s="201"/>
    </row>
    <row r="55" spans="1:12" ht="27.75" customHeight="1" x14ac:dyDescent="0.2">
      <c r="A55" s="18" t="s">
        <v>849</v>
      </c>
      <c r="B55" s="103">
        <v>43280</v>
      </c>
      <c r="C55" s="104">
        <v>43312</v>
      </c>
      <c r="D55" s="195">
        <v>40</v>
      </c>
      <c r="E55" s="14"/>
      <c r="F55" s="14"/>
      <c r="G55" s="14">
        <v>907.7</v>
      </c>
      <c r="H55" s="52">
        <f t="shared" si="0"/>
        <v>907.7</v>
      </c>
      <c r="I55" s="52">
        <f t="shared" si="1"/>
        <v>907.7</v>
      </c>
      <c r="J55" s="82"/>
      <c r="K55" s="14"/>
      <c r="L55" s="201"/>
    </row>
    <row r="56" spans="1:12" ht="27.75" customHeight="1" x14ac:dyDescent="0.2">
      <c r="A56" s="18" t="s">
        <v>850</v>
      </c>
      <c r="B56" s="103">
        <v>43280</v>
      </c>
      <c r="C56" s="104">
        <v>43312</v>
      </c>
      <c r="D56" s="195">
        <v>40</v>
      </c>
      <c r="E56" s="14"/>
      <c r="F56" s="14"/>
      <c r="G56" s="14">
        <v>907.7</v>
      </c>
      <c r="H56" s="52">
        <f t="shared" si="0"/>
        <v>907.7</v>
      </c>
      <c r="I56" s="52">
        <f t="shared" si="1"/>
        <v>907.7</v>
      </c>
      <c r="J56" s="82"/>
      <c r="K56" s="14"/>
      <c r="L56" s="201"/>
    </row>
    <row r="57" spans="1:12" ht="27.75" customHeight="1" x14ac:dyDescent="0.2">
      <c r="A57" s="18" t="s">
        <v>851</v>
      </c>
      <c r="B57" s="103">
        <v>43280</v>
      </c>
      <c r="C57" s="104">
        <v>43312</v>
      </c>
      <c r="D57" s="195">
        <v>40</v>
      </c>
      <c r="E57" s="14"/>
      <c r="F57" s="14"/>
      <c r="G57" s="14">
        <v>907.7</v>
      </c>
      <c r="H57" s="52">
        <f t="shared" si="0"/>
        <v>907.7</v>
      </c>
      <c r="I57" s="52">
        <f t="shared" si="1"/>
        <v>907.7</v>
      </c>
      <c r="J57" s="82"/>
      <c r="K57" s="14"/>
      <c r="L57" s="201"/>
    </row>
    <row r="58" spans="1:12" ht="27.75" customHeight="1" x14ac:dyDescent="0.2">
      <c r="A58" s="18" t="s">
        <v>852</v>
      </c>
      <c r="B58" s="103">
        <v>43280</v>
      </c>
      <c r="C58" s="104">
        <v>43312</v>
      </c>
      <c r="D58" s="195">
        <v>40</v>
      </c>
      <c r="E58" s="14"/>
      <c r="F58" s="14"/>
      <c r="G58" s="14">
        <v>907.7</v>
      </c>
      <c r="H58" s="52">
        <f t="shared" si="0"/>
        <v>907.7</v>
      </c>
      <c r="I58" s="52">
        <f t="shared" si="1"/>
        <v>907.7</v>
      </c>
      <c r="J58" s="82"/>
      <c r="K58" s="14"/>
      <c r="L58" s="201"/>
    </row>
    <row r="59" spans="1:12" ht="27.75" customHeight="1" x14ac:dyDescent="0.2">
      <c r="A59" s="18" t="s">
        <v>853</v>
      </c>
      <c r="B59" s="103">
        <v>43280</v>
      </c>
      <c r="C59" s="104">
        <v>43312</v>
      </c>
      <c r="D59" s="195">
        <v>40</v>
      </c>
      <c r="E59" s="14"/>
      <c r="F59" s="14"/>
      <c r="G59" s="14">
        <v>907.7</v>
      </c>
      <c r="H59" s="52">
        <f t="shared" si="0"/>
        <v>907.7</v>
      </c>
      <c r="I59" s="52">
        <f t="shared" si="1"/>
        <v>907.7</v>
      </c>
      <c r="J59" s="82"/>
      <c r="K59" s="14"/>
      <c r="L59" s="201"/>
    </row>
    <row r="60" spans="1:12" ht="36" customHeight="1" x14ac:dyDescent="0.2">
      <c r="A60" s="18" t="s">
        <v>854</v>
      </c>
      <c r="B60" s="103">
        <v>43280</v>
      </c>
      <c r="C60" s="104">
        <v>43312</v>
      </c>
      <c r="D60" s="195">
        <v>40</v>
      </c>
      <c r="E60" s="14"/>
      <c r="F60" s="14"/>
      <c r="G60" s="14">
        <v>907.7</v>
      </c>
      <c r="H60" s="52">
        <f t="shared" si="0"/>
        <v>907.7</v>
      </c>
      <c r="I60" s="52">
        <f t="shared" si="1"/>
        <v>907.7</v>
      </c>
      <c r="J60" s="82"/>
      <c r="K60" s="14"/>
      <c r="L60" s="201"/>
    </row>
    <row r="61" spans="1:12" ht="27.75" customHeight="1" x14ac:dyDescent="0.2">
      <c r="A61" s="18" t="s">
        <v>855</v>
      </c>
      <c r="B61" s="103">
        <v>43280</v>
      </c>
      <c r="C61" s="104">
        <v>43312</v>
      </c>
      <c r="D61" s="195">
        <v>40</v>
      </c>
      <c r="E61" s="14"/>
      <c r="F61" s="14"/>
      <c r="G61" s="14">
        <v>907.7</v>
      </c>
      <c r="H61" s="52">
        <f t="shared" si="0"/>
        <v>907.7</v>
      </c>
      <c r="I61" s="52">
        <f t="shared" si="1"/>
        <v>907.7</v>
      </c>
      <c r="J61" s="82"/>
      <c r="K61" s="14"/>
      <c r="L61" s="201"/>
    </row>
    <row r="62" spans="1:12" ht="27.75" customHeight="1" x14ac:dyDescent="0.2">
      <c r="A62" s="18" t="s">
        <v>856</v>
      </c>
      <c r="B62" s="103">
        <v>43280</v>
      </c>
      <c r="C62" s="104">
        <v>43312</v>
      </c>
      <c r="D62" s="195">
        <v>40</v>
      </c>
      <c r="E62" s="14"/>
      <c r="F62" s="14"/>
      <c r="G62" s="14">
        <v>907.7</v>
      </c>
      <c r="H62" s="52">
        <f t="shared" si="0"/>
        <v>907.7</v>
      </c>
      <c r="I62" s="52">
        <f t="shared" si="1"/>
        <v>907.7</v>
      </c>
      <c r="J62" s="82"/>
      <c r="K62" s="14"/>
      <c r="L62" s="201"/>
    </row>
    <row r="63" spans="1:12" ht="27.75" customHeight="1" x14ac:dyDescent="0.2">
      <c r="A63" s="18" t="s">
        <v>857</v>
      </c>
      <c r="B63" s="103">
        <v>43280</v>
      </c>
      <c r="C63" s="104">
        <v>43312</v>
      </c>
      <c r="D63" s="195">
        <v>40</v>
      </c>
      <c r="E63" s="14"/>
      <c r="F63" s="14"/>
      <c r="G63" s="14">
        <v>907.7</v>
      </c>
      <c r="H63" s="52">
        <f t="shared" si="0"/>
        <v>907.7</v>
      </c>
      <c r="I63" s="52">
        <f t="shared" si="1"/>
        <v>907.7</v>
      </c>
      <c r="J63" s="82"/>
      <c r="K63" s="14"/>
      <c r="L63" s="201"/>
    </row>
    <row r="64" spans="1:12" ht="27.75" customHeight="1" x14ac:dyDescent="0.2">
      <c r="A64" s="18" t="s">
        <v>858</v>
      </c>
      <c r="B64" s="103">
        <v>43280</v>
      </c>
      <c r="C64" s="104">
        <v>43312</v>
      </c>
      <c r="D64" s="195">
        <v>40</v>
      </c>
      <c r="E64" s="14"/>
      <c r="F64" s="14"/>
      <c r="G64" s="14">
        <v>907.7</v>
      </c>
      <c r="H64" s="52">
        <f t="shared" si="0"/>
        <v>907.7</v>
      </c>
      <c r="I64" s="52">
        <f t="shared" si="1"/>
        <v>907.7</v>
      </c>
      <c r="J64" s="82"/>
      <c r="K64" s="14"/>
      <c r="L64" s="201"/>
    </row>
    <row r="65" spans="1:12" ht="27.75" customHeight="1" x14ac:dyDescent="0.2">
      <c r="A65" s="18" t="s">
        <v>859</v>
      </c>
      <c r="B65" s="103">
        <v>43280</v>
      </c>
      <c r="C65" s="104">
        <v>43312</v>
      </c>
      <c r="D65" s="195">
        <v>40</v>
      </c>
      <c r="E65" s="14"/>
      <c r="F65" s="14"/>
      <c r="G65" s="14">
        <v>907.7</v>
      </c>
      <c r="H65" s="52">
        <f t="shared" si="0"/>
        <v>907.7</v>
      </c>
      <c r="I65" s="52">
        <f t="shared" si="1"/>
        <v>907.7</v>
      </c>
      <c r="J65" s="82"/>
      <c r="K65" s="14"/>
      <c r="L65" s="201"/>
    </row>
    <row r="66" spans="1:12" ht="27.75" customHeight="1" x14ac:dyDescent="0.2">
      <c r="A66" s="18" t="s">
        <v>860</v>
      </c>
      <c r="B66" s="103">
        <v>43280</v>
      </c>
      <c r="C66" s="104">
        <v>43312</v>
      </c>
      <c r="D66" s="195">
        <v>40</v>
      </c>
      <c r="E66" s="14"/>
      <c r="F66" s="14"/>
      <c r="G66" s="14">
        <v>907.7</v>
      </c>
      <c r="H66" s="52">
        <f t="shared" si="0"/>
        <v>907.7</v>
      </c>
      <c r="I66" s="52">
        <f t="shared" si="1"/>
        <v>907.7</v>
      </c>
      <c r="J66" s="82"/>
      <c r="K66" s="14"/>
      <c r="L66" s="201"/>
    </row>
    <row r="67" spans="1:12" ht="27.75" customHeight="1" x14ac:dyDescent="0.2">
      <c r="A67" s="18" t="s">
        <v>861</v>
      </c>
      <c r="B67" s="103">
        <v>43280</v>
      </c>
      <c r="C67" s="104">
        <v>43312</v>
      </c>
      <c r="D67" s="195">
        <v>40</v>
      </c>
      <c r="E67" s="14"/>
      <c r="F67" s="14"/>
      <c r="G67" s="14">
        <v>907.7</v>
      </c>
      <c r="H67" s="52">
        <f t="shared" si="0"/>
        <v>907.7</v>
      </c>
      <c r="I67" s="52">
        <f t="shared" si="1"/>
        <v>907.7</v>
      </c>
      <c r="J67" s="82"/>
      <c r="K67" s="14"/>
      <c r="L67" s="201"/>
    </row>
    <row r="68" spans="1:12" ht="27.75" customHeight="1" x14ac:dyDescent="0.2">
      <c r="A68" s="18" t="s">
        <v>862</v>
      </c>
      <c r="B68" s="103">
        <v>43280</v>
      </c>
      <c r="C68" s="104">
        <v>43312</v>
      </c>
      <c r="D68" s="195">
        <v>40</v>
      </c>
      <c r="E68" s="14"/>
      <c r="F68" s="14"/>
      <c r="G68" s="14">
        <v>907.7</v>
      </c>
      <c r="H68" s="52">
        <f t="shared" si="0"/>
        <v>907.7</v>
      </c>
      <c r="I68" s="52">
        <f t="shared" si="1"/>
        <v>907.7</v>
      </c>
      <c r="J68" s="82"/>
      <c r="K68" s="14"/>
      <c r="L68" s="201"/>
    </row>
    <row r="69" spans="1:12" ht="27.75" customHeight="1" x14ac:dyDescent="0.2">
      <c r="A69" s="18" t="s">
        <v>863</v>
      </c>
      <c r="B69" s="103">
        <v>43280</v>
      </c>
      <c r="C69" s="104">
        <v>43312</v>
      </c>
      <c r="D69" s="195">
        <v>40</v>
      </c>
      <c r="E69" s="14"/>
      <c r="F69" s="14"/>
      <c r="G69" s="14">
        <v>907.7</v>
      </c>
      <c r="H69" s="52">
        <f t="shared" si="0"/>
        <v>907.7</v>
      </c>
      <c r="I69" s="52">
        <f t="shared" si="1"/>
        <v>907.7</v>
      </c>
      <c r="J69" s="82"/>
      <c r="K69" s="14"/>
      <c r="L69" s="201"/>
    </row>
    <row r="70" spans="1:12" ht="27.75" customHeight="1" x14ac:dyDescent="0.2">
      <c r="A70" s="18" t="s">
        <v>864</v>
      </c>
      <c r="B70" s="103">
        <v>43280</v>
      </c>
      <c r="C70" s="104">
        <v>43312</v>
      </c>
      <c r="D70" s="195">
        <v>40</v>
      </c>
      <c r="E70" s="14"/>
      <c r="F70" s="14"/>
      <c r="G70" s="14">
        <v>907.7</v>
      </c>
      <c r="H70" s="52">
        <f t="shared" si="0"/>
        <v>907.7</v>
      </c>
      <c r="I70" s="52">
        <f t="shared" si="1"/>
        <v>907.7</v>
      </c>
      <c r="J70" s="82"/>
      <c r="K70" s="14"/>
      <c r="L70" s="201"/>
    </row>
    <row r="71" spans="1:12" ht="27.75" customHeight="1" x14ac:dyDescent="0.2">
      <c r="A71" s="18" t="s">
        <v>865</v>
      </c>
      <c r="B71" s="103">
        <v>43280</v>
      </c>
      <c r="C71" s="104">
        <v>43312</v>
      </c>
      <c r="D71" s="195">
        <v>40</v>
      </c>
      <c r="E71" s="14"/>
      <c r="F71" s="14"/>
      <c r="G71" s="14">
        <v>907.7</v>
      </c>
      <c r="H71" s="52">
        <f t="shared" si="0"/>
        <v>907.7</v>
      </c>
      <c r="I71" s="52">
        <f t="shared" si="1"/>
        <v>907.7</v>
      </c>
      <c r="J71" s="82"/>
      <c r="K71" s="14"/>
      <c r="L71" s="201"/>
    </row>
    <row r="72" spans="1:12" ht="27.75" customHeight="1" x14ac:dyDescent="0.2">
      <c r="A72" s="18" t="s">
        <v>866</v>
      </c>
      <c r="B72" s="103">
        <v>43280</v>
      </c>
      <c r="C72" s="104">
        <v>43312</v>
      </c>
      <c r="D72" s="195">
        <v>40</v>
      </c>
      <c r="E72" s="14"/>
      <c r="F72" s="14"/>
      <c r="G72" s="14">
        <v>907.7</v>
      </c>
      <c r="H72" s="52">
        <f t="shared" si="0"/>
        <v>907.7</v>
      </c>
      <c r="I72" s="52">
        <f t="shared" si="1"/>
        <v>907.7</v>
      </c>
      <c r="J72" s="82"/>
      <c r="K72" s="14"/>
      <c r="L72" s="201"/>
    </row>
    <row r="73" spans="1:12" ht="27.75" customHeight="1" x14ac:dyDescent="0.2">
      <c r="A73" s="18" t="s">
        <v>867</v>
      </c>
      <c r="B73" s="103">
        <v>43280</v>
      </c>
      <c r="C73" s="104">
        <v>43312</v>
      </c>
      <c r="D73" s="195">
        <v>40</v>
      </c>
      <c r="E73" s="14"/>
      <c r="F73" s="14"/>
      <c r="G73" s="14">
        <v>907.7</v>
      </c>
      <c r="H73" s="52">
        <f t="shared" si="0"/>
        <v>907.7</v>
      </c>
      <c r="I73" s="52">
        <f t="shared" si="1"/>
        <v>907.7</v>
      </c>
      <c r="J73" s="82"/>
      <c r="K73" s="14"/>
      <c r="L73" s="201"/>
    </row>
    <row r="74" spans="1:12" ht="27.75" customHeight="1" x14ac:dyDescent="0.2">
      <c r="A74" s="18" t="s">
        <v>868</v>
      </c>
      <c r="B74" s="103">
        <v>43280</v>
      </c>
      <c r="C74" s="104">
        <v>43312</v>
      </c>
      <c r="D74" s="195">
        <v>40</v>
      </c>
      <c r="E74" s="14"/>
      <c r="F74" s="14"/>
      <c r="G74" s="14">
        <v>1992.98</v>
      </c>
      <c r="H74" s="52">
        <f t="shared" si="0"/>
        <v>1992.98</v>
      </c>
      <c r="I74" s="52">
        <f t="shared" si="1"/>
        <v>1992.98</v>
      </c>
      <c r="J74" s="82"/>
      <c r="K74" s="14"/>
      <c r="L74" s="201"/>
    </row>
    <row r="75" spans="1:12" ht="27.75" customHeight="1" x14ac:dyDescent="0.2">
      <c r="A75" s="18" t="s">
        <v>869</v>
      </c>
      <c r="B75" s="103">
        <v>43280</v>
      </c>
      <c r="C75" s="104">
        <v>43312</v>
      </c>
      <c r="D75" s="195">
        <v>40</v>
      </c>
      <c r="E75" s="14"/>
      <c r="F75" s="14"/>
      <c r="G75" s="14">
        <v>1992.98</v>
      </c>
      <c r="H75" s="52">
        <f t="shared" si="0"/>
        <v>1992.98</v>
      </c>
      <c r="I75" s="52">
        <f t="shared" si="1"/>
        <v>1992.98</v>
      </c>
      <c r="J75" s="82"/>
      <c r="K75" s="14"/>
      <c r="L75" s="201"/>
    </row>
    <row r="76" spans="1:12" ht="27.75" customHeight="1" x14ac:dyDescent="0.2">
      <c r="A76" s="18" t="s">
        <v>870</v>
      </c>
      <c r="B76" s="103">
        <v>43280</v>
      </c>
      <c r="C76" s="104">
        <v>43312</v>
      </c>
      <c r="D76" s="195">
        <v>40</v>
      </c>
      <c r="E76" s="14"/>
      <c r="F76" s="14"/>
      <c r="G76" s="14">
        <v>1992.98</v>
      </c>
      <c r="H76" s="52">
        <f t="shared" si="0"/>
        <v>1992.98</v>
      </c>
      <c r="I76" s="52">
        <f t="shared" si="1"/>
        <v>1992.98</v>
      </c>
      <c r="J76" s="82"/>
      <c r="K76" s="14"/>
      <c r="L76" s="201"/>
    </row>
    <row r="77" spans="1:12" ht="27.75" customHeight="1" x14ac:dyDescent="0.2">
      <c r="A77" s="18" t="s">
        <v>871</v>
      </c>
      <c r="B77" s="103">
        <v>43280</v>
      </c>
      <c r="C77" s="104">
        <v>43312</v>
      </c>
      <c r="D77" s="195">
        <v>40</v>
      </c>
      <c r="E77" s="14"/>
      <c r="F77" s="14"/>
      <c r="G77" s="14">
        <v>907.7</v>
      </c>
      <c r="H77" s="52">
        <f t="shared" si="0"/>
        <v>907.7</v>
      </c>
      <c r="I77" s="52">
        <f t="shared" si="1"/>
        <v>907.7</v>
      </c>
      <c r="J77" s="82"/>
      <c r="K77" s="14"/>
      <c r="L77" s="201"/>
    </row>
    <row r="78" spans="1:12" ht="27.75" customHeight="1" x14ac:dyDescent="0.2">
      <c r="A78" s="18" t="s">
        <v>872</v>
      </c>
      <c r="B78" s="103">
        <v>43280</v>
      </c>
      <c r="C78" s="104">
        <v>43312</v>
      </c>
      <c r="D78" s="195">
        <v>40</v>
      </c>
      <c r="E78" s="14"/>
      <c r="F78" s="14"/>
      <c r="G78" s="14">
        <v>907.7</v>
      </c>
      <c r="H78" s="52">
        <f t="shared" si="0"/>
        <v>907.7</v>
      </c>
      <c r="I78" s="52">
        <f t="shared" si="1"/>
        <v>907.7</v>
      </c>
      <c r="J78" s="82"/>
      <c r="K78" s="14"/>
      <c r="L78" s="201"/>
    </row>
    <row r="79" spans="1:12" ht="27.75" customHeight="1" x14ac:dyDescent="0.2">
      <c r="A79" s="18" t="s">
        <v>873</v>
      </c>
      <c r="B79" s="103">
        <v>43280</v>
      </c>
      <c r="C79" s="104">
        <v>43312</v>
      </c>
      <c r="D79" s="195">
        <v>40</v>
      </c>
      <c r="E79" s="14"/>
      <c r="F79" s="14"/>
      <c r="G79" s="14">
        <v>907.7</v>
      </c>
      <c r="H79" s="52">
        <f t="shared" si="0"/>
        <v>907.7</v>
      </c>
      <c r="I79" s="52">
        <f t="shared" si="1"/>
        <v>907.7</v>
      </c>
      <c r="J79" s="82"/>
      <c r="K79" s="14"/>
      <c r="L79" s="201"/>
    </row>
    <row r="80" spans="1:12" ht="27.75" customHeight="1" x14ac:dyDescent="0.2">
      <c r="A80" s="18" t="s">
        <v>874</v>
      </c>
      <c r="B80" s="103">
        <v>43280</v>
      </c>
      <c r="C80" s="104">
        <v>43312</v>
      </c>
      <c r="D80" s="195">
        <v>40</v>
      </c>
      <c r="E80" s="14"/>
      <c r="F80" s="14"/>
      <c r="G80" s="14">
        <v>907.7</v>
      </c>
      <c r="H80" s="52">
        <f t="shared" si="0"/>
        <v>907.7</v>
      </c>
      <c r="I80" s="52">
        <f t="shared" si="1"/>
        <v>907.7</v>
      </c>
      <c r="J80" s="82"/>
      <c r="K80" s="14"/>
      <c r="L80" s="201"/>
    </row>
    <row r="81" spans="1:12" ht="27.75" customHeight="1" x14ac:dyDescent="0.2">
      <c r="A81" s="18" t="s">
        <v>875</v>
      </c>
      <c r="B81" s="103">
        <v>43280</v>
      </c>
      <c r="C81" s="104">
        <v>43312</v>
      </c>
      <c r="D81" s="195">
        <v>40</v>
      </c>
      <c r="E81" s="14"/>
      <c r="F81" s="14"/>
      <c r="G81" s="14">
        <v>907.7</v>
      </c>
      <c r="H81" s="52">
        <f t="shared" si="0"/>
        <v>907.7</v>
      </c>
      <c r="I81" s="52">
        <f t="shared" si="1"/>
        <v>907.7</v>
      </c>
      <c r="J81" s="82"/>
      <c r="K81" s="14"/>
      <c r="L81" s="201"/>
    </row>
    <row r="82" spans="1:12" ht="27.75" customHeight="1" x14ac:dyDescent="0.2">
      <c r="A82" s="18" t="s">
        <v>876</v>
      </c>
      <c r="B82" s="103">
        <v>43280</v>
      </c>
      <c r="C82" s="104">
        <v>43312</v>
      </c>
      <c r="D82" s="195">
        <v>40</v>
      </c>
      <c r="E82" s="14"/>
      <c r="F82" s="14"/>
      <c r="G82" s="14">
        <v>907.7</v>
      </c>
      <c r="H82" s="52">
        <f t="shared" si="0"/>
        <v>907.7</v>
      </c>
      <c r="I82" s="52">
        <f t="shared" si="1"/>
        <v>907.7</v>
      </c>
      <c r="J82" s="82"/>
      <c r="K82" s="14"/>
      <c r="L82" s="201"/>
    </row>
    <row r="83" spans="1:12" ht="27.75" customHeight="1" x14ac:dyDescent="0.2">
      <c r="A83" s="18" t="s">
        <v>877</v>
      </c>
      <c r="B83" s="103">
        <v>43280</v>
      </c>
      <c r="C83" s="104">
        <v>43312</v>
      </c>
      <c r="D83" s="195">
        <v>40</v>
      </c>
      <c r="E83" s="14"/>
      <c r="F83" s="14"/>
      <c r="G83" s="14">
        <v>907.7</v>
      </c>
      <c r="H83" s="52">
        <f t="shared" si="0"/>
        <v>907.7</v>
      </c>
      <c r="I83" s="52">
        <f t="shared" si="1"/>
        <v>907.7</v>
      </c>
      <c r="J83" s="82"/>
      <c r="K83" s="14"/>
      <c r="L83" s="201"/>
    </row>
    <row r="84" spans="1:12" ht="27.75" customHeight="1" x14ac:dyDescent="0.2">
      <c r="A84" s="18" t="s">
        <v>878</v>
      </c>
      <c r="B84" s="103">
        <v>43280</v>
      </c>
      <c r="C84" s="104">
        <v>43312</v>
      </c>
      <c r="D84" s="195">
        <v>40</v>
      </c>
      <c r="E84" s="14"/>
      <c r="F84" s="14"/>
      <c r="G84" s="14">
        <v>907.7</v>
      </c>
      <c r="H84" s="52">
        <f t="shared" si="0"/>
        <v>907.7</v>
      </c>
      <c r="I84" s="52">
        <f t="shared" si="1"/>
        <v>907.7</v>
      </c>
      <c r="J84" s="82"/>
      <c r="K84" s="14"/>
      <c r="L84" s="201"/>
    </row>
    <row r="85" spans="1:12" ht="27.75" customHeight="1" x14ac:dyDescent="0.2">
      <c r="A85" s="18" t="s">
        <v>879</v>
      </c>
      <c r="B85" s="103">
        <v>43280</v>
      </c>
      <c r="C85" s="104">
        <v>43312</v>
      </c>
      <c r="D85" s="195">
        <v>40</v>
      </c>
      <c r="E85" s="14"/>
      <c r="F85" s="14"/>
      <c r="G85" s="14">
        <v>907.69</v>
      </c>
      <c r="H85" s="52">
        <f t="shared" si="0"/>
        <v>907.69</v>
      </c>
      <c r="I85" s="52">
        <f t="shared" si="1"/>
        <v>907.69</v>
      </c>
      <c r="J85" s="82"/>
      <c r="K85" s="14"/>
      <c r="L85" s="201"/>
    </row>
    <row r="86" spans="1:12" ht="27.75" customHeight="1" x14ac:dyDescent="0.2">
      <c r="A86" s="18" t="s">
        <v>880</v>
      </c>
      <c r="B86" s="103">
        <v>43280</v>
      </c>
      <c r="C86" s="104">
        <v>43312</v>
      </c>
      <c r="D86" s="195">
        <v>40</v>
      </c>
      <c r="E86" s="14"/>
      <c r="F86" s="14"/>
      <c r="G86" s="14">
        <v>907.69</v>
      </c>
      <c r="H86" s="52">
        <f t="shared" si="0"/>
        <v>907.69</v>
      </c>
      <c r="I86" s="52">
        <f t="shared" si="1"/>
        <v>907.69</v>
      </c>
      <c r="J86" s="82"/>
      <c r="K86" s="14"/>
      <c r="L86" s="201"/>
    </row>
    <row r="87" spans="1:12" ht="27.75" customHeight="1" x14ac:dyDescent="0.2">
      <c r="A87" s="18" t="s">
        <v>881</v>
      </c>
      <c r="B87" s="103">
        <v>43280</v>
      </c>
      <c r="C87" s="104">
        <v>43312</v>
      </c>
      <c r="D87" s="195">
        <v>40</v>
      </c>
      <c r="E87" s="14"/>
      <c r="F87" s="14"/>
      <c r="G87" s="14">
        <v>907.7</v>
      </c>
      <c r="H87" s="52">
        <f t="shared" si="0"/>
        <v>907.7</v>
      </c>
      <c r="I87" s="52">
        <f t="shared" si="1"/>
        <v>907.7</v>
      </c>
      <c r="J87" s="82"/>
      <c r="K87" s="14"/>
      <c r="L87" s="201"/>
    </row>
    <row r="88" spans="1:12" ht="27.75" customHeight="1" x14ac:dyDescent="0.2">
      <c r="A88" s="18" t="s">
        <v>882</v>
      </c>
      <c r="B88" s="103">
        <v>43280</v>
      </c>
      <c r="C88" s="104">
        <v>43312</v>
      </c>
      <c r="D88" s="195">
        <v>40</v>
      </c>
      <c r="E88" s="14"/>
      <c r="F88" s="14"/>
      <c r="G88" s="14">
        <v>907.7</v>
      </c>
      <c r="H88" s="52">
        <f t="shared" si="0"/>
        <v>907.7</v>
      </c>
      <c r="I88" s="52">
        <f t="shared" si="1"/>
        <v>907.7</v>
      </c>
      <c r="J88" s="82"/>
      <c r="K88" s="14"/>
      <c r="L88" s="201"/>
    </row>
    <row r="89" spans="1:12" ht="27.75" customHeight="1" x14ac:dyDescent="0.2">
      <c r="A89" s="18" t="s">
        <v>883</v>
      </c>
      <c r="B89" s="103">
        <v>43280</v>
      </c>
      <c r="C89" s="104">
        <v>43312</v>
      </c>
      <c r="D89" s="195">
        <v>40</v>
      </c>
      <c r="E89" s="14"/>
      <c r="F89" s="14"/>
      <c r="G89" s="14">
        <v>907.7</v>
      </c>
      <c r="H89" s="52">
        <f t="shared" si="0"/>
        <v>907.7</v>
      </c>
      <c r="I89" s="52">
        <f t="shared" si="1"/>
        <v>907.7</v>
      </c>
      <c r="J89" s="82"/>
      <c r="K89" s="14"/>
      <c r="L89" s="201"/>
    </row>
    <row r="90" spans="1:12" ht="27.75" customHeight="1" x14ac:dyDescent="0.2">
      <c r="A90" s="18" t="s">
        <v>884</v>
      </c>
      <c r="B90" s="103">
        <v>43280</v>
      </c>
      <c r="C90" s="104">
        <v>43312</v>
      </c>
      <c r="D90" s="195">
        <v>40</v>
      </c>
      <c r="E90" s="14"/>
      <c r="F90" s="14"/>
      <c r="G90" s="14">
        <v>907.69</v>
      </c>
      <c r="H90" s="52">
        <f t="shared" si="0"/>
        <v>907.69</v>
      </c>
      <c r="I90" s="52">
        <f t="shared" si="1"/>
        <v>907.69</v>
      </c>
      <c r="J90" s="82"/>
      <c r="K90" s="14"/>
      <c r="L90" s="201"/>
    </row>
    <row r="91" spans="1:12" ht="27.75" customHeight="1" x14ac:dyDescent="0.2">
      <c r="A91" s="18" t="s">
        <v>932</v>
      </c>
      <c r="B91" s="103"/>
      <c r="C91" s="104">
        <v>43312</v>
      </c>
      <c r="D91" s="195">
        <v>40</v>
      </c>
      <c r="E91" s="14"/>
      <c r="F91" s="14"/>
      <c r="G91" s="14">
        <v>907.69</v>
      </c>
      <c r="H91" s="52">
        <f t="shared" si="0"/>
        <v>907.69</v>
      </c>
      <c r="I91" s="52">
        <f t="shared" si="1"/>
        <v>907.69</v>
      </c>
      <c r="J91" s="82"/>
      <c r="K91" s="14"/>
      <c r="L91" s="201"/>
    </row>
    <row r="92" spans="1:12" ht="27.75" customHeight="1" x14ac:dyDescent="0.2">
      <c r="A92" s="18" t="s">
        <v>885</v>
      </c>
      <c r="B92" s="103">
        <v>43280</v>
      </c>
      <c r="C92" s="104">
        <v>43312</v>
      </c>
      <c r="D92" s="195">
        <v>40</v>
      </c>
      <c r="E92" s="14"/>
      <c r="F92" s="14"/>
      <c r="G92" s="14">
        <v>907.69</v>
      </c>
      <c r="H92" s="52">
        <f t="shared" si="0"/>
        <v>907.69</v>
      </c>
      <c r="I92" s="52">
        <f t="shared" si="1"/>
        <v>907.69</v>
      </c>
      <c r="J92" s="82"/>
      <c r="K92" s="14"/>
      <c r="L92" s="201"/>
    </row>
    <row r="93" spans="1:12" ht="27.75" customHeight="1" x14ac:dyDescent="0.2">
      <c r="A93" s="18" t="s">
        <v>886</v>
      </c>
      <c r="B93" s="103">
        <v>43280</v>
      </c>
      <c r="C93" s="104">
        <v>43312</v>
      </c>
      <c r="D93" s="195">
        <v>40</v>
      </c>
      <c r="E93" s="14"/>
      <c r="F93" s="14"/>
      <c r="G93" s="14">
        <v>907.7</v>
      </c>
      <c r="H93" s="52">
        <f t="shared" si="0"/>
        <v>907.7</v>
      </c>
      <c r="I93" s="52">
        <f t="shared" si="1"/>
        <v>907.7</v>
      </c>
      <c r="J93" s="82"/>
      <c r="K93" s="14"/>
      <c r="L93" s="201"/>
    </row>
    <row r="94" spans="1:12" ht="27.75" customHeight="1" x14ac:dyDescent="0.2">
      <c r="A94" s="18" t="s">
        <v>887</v>
      </c>
      <c r="B94" s="103">
        <v>43280</v>
      </c>
      <c r="C94" s="104">
        <v>43312</v>
      </c>
      <c r="D94" s="195">
        <v>40</v>
      </c>
      <c r="E94" s="14"/>
      <c r="F94" s="14"/>
      <c r="G94" s="14">
        <v>1992.98</v>
      </c>
      <c r="H94" s="52">
        <f t="shared" si="0"/>
        <v>1992.98</v>
      </c>
      <c r="I94" s="52">
        <f t="shared" si="1"/>
        <v>1992.98</v>
      </c>
      <c r="J94" s="82"/>
      <c r="K94" s="14"/>
      <c r="L94" s="201"/>
    </row>
    <row r="95" spans="1:12" ht="27.75" customHeight="1" x14ac:dyDescent="0.2">
      <c r="A95" s="18" t="s">
        <v>888</v>
      </c>
      <c r="B95" s="103">
        <v>43280</v>
      </c>
      <c r="C95" s="104">
        <v>43312</v>
      </c>
      <c r="D95" s="195">
        <v>40</v>
      </c>
      <c r="E95" s="14"/>
      <c r="F95" s="14"/>
      <c r="G95" s="14">
        <v>1992.97</v>
      </c>
      <c r="H95" s="52">
        <f t="shared" si="0"/>
        <v>1992.97</v>
      </c>
      <c r="I95" s="52">
        <f t="shared" si="1"/>
        <v>1992.97</v>
      </c>
      <c r="J95" s="82"/>
      <c r="K95" s="14"/>
      <c r="L95" s="201"/>
    </row>
    <row r="96" spans="1:12" ht="27.75" customHeight="1" x14ac:dyDescent="0.2">
      <c r="A96" s="18" t="s">
        <v>889</v>
      </c>
      <c r="B96" s="103">
        <v>43280</v>
      </c>
      <c r="C96" s="104">
        <v>43312</v>
      </c>
      <c r="D96" s="195">
        <v>40</v>
      </c>
      <c r="E96" s="14"/>
      <c r="F96" s="14"/>
      <c r="G96" s="14">
        <v>1992.97</v>
      </c>
      <c r="H96" s="52">
        <f t="shared" si="0"/>
        <v>1992.97</v>
      </c>
      <c r="I96" s="52">
        <f t="shared" si="1"/>
        <v>1992.97</v>
      </c>
      <c r="J96" s="82"/>
      <c r="K96" s="14"/>
      <c r="L96" s="201"/>
    </row>
    <row r="97" spans="1:12" ht="27.75" customHeight="1" x14ac:dyDescent="0.2">
      <c r="A97" s="18" t="s">
        <v>890</v>
      </c>
      <c r="B97" s="103">
        <v>43280</v>
      </c>
      <c r="C97" s="104">
        <v>43312</v>
      </c>
      <c r="D97" s="195">
        <v>40</v>
      </c>
      <c r="E97" s="14"/>
      <c r="F97" s="14"/>
      <c r="G97" s="14">
        <v>1992.98</v>
      </c>
      <c r="H97" s="52">
        <f t="shared" si="0"/>
        <v>1992.98</v>
      </c>
      <c r="I97" s="52">
        <f t="shared" si="1"/>
        <v>1992.98</v>
      </c>
      <c r="J97" s="82"/>
      <c r="K97" s="14"/>
      <c r="L97" s="201"/>
    </row>
    <row r="98" spans="1:12" ht="27.75" customHeight="1" x14ac:dyDescent="0.2">
      <c r="A98" s="18" t="s">
        <v>891</v>
      </c>
      <c r="B98" s="103">
        <v>43280</v>
      </c>
      <c r="C98" s="104">
        <v>43312</v>
      </c>
      <c r="D98" s="195">
        <v>40</v>
      </c>
      <c r="E98" s="14"/>
      <c r="F98" s="14"/>
      <c r="G98" s="14">
        <v>2391.63</v>
      </c>
      <c r="H98" s="52">
        <f t="shared" si="0"/>
        <v>2391.63</v>
      </c>
      <c r="I98" s="52">
        <f t="shared" si="1"/>
        <v>2391.63</v>
      </c>
      <c r="J98" s="82"/>
      <c r="K98" s="14"/>
      <c r="L98" s="201"/>
    </row>
    <row r="99" spans="1:12" ht="27.75" customHeight="1" x14ac:dyDescent="0.2">
      <c r="A99" s="18" t="s">
        <v>892</v>
      </c>
      <c r="B99" s="103">
        <v>43280</v>
      </c>
      <c r="C99" s="104">
        <v>43312</v>
      </c>
      <c r="D99" s="195">
        <v>40</v>
      </c>
      <c r="E99" s="14"/>
      <c r="F99" s="14"/>
      <c r="G99" s="14">
        <v>1992.97</v>
      </c>
      <c r="H99" s="52">
        <f t="shared" si="0"/>
        <v>1992.97</v>
      </c>
      <c r="I99" s="52">
        <f t="shared" si="1"/>
        <v>1992.97</v>
      </c>
      <c r="J99" s="82"/>
      <c r="K99" s="14"/>
      <c r="L99" s="201"/>
    </row>
    <row r="100" spans="1:12" ht="27.75" customHeight="1" x14ac:dyDescent="0.2">
      <c r="A100" s="18" t="s">
        <v>893</v>
      </c>
      <c r="B100" s="103">
        <v>43280</v>
      </c>
      <c r="C100" s="104">
        <v>43312</v>
      </c>
      <c r="D100" s="195">
        <v>40</v>
      </c>
      <c r="E100" s="14"/>
      <c r="F100" s="14"/>
      <c r="G100" s="14">
        <v>1992.97</v>
      </c>
      <c r="H100" s="52">
        <f t="shared" si="0"/>
        <v>1992.97</v>
      </c>
      <c r="I100" s="52">
        <f t="shared" si="1"/>
        <v>1992.97</v>
      </c>
      <c r="J100" s="82"/>
      <c r="K100" s="14"/>
      <c r="L100" s="201"/>
    </row>
    <row r="101" spans="1:12" ht="27.75" customHeight="1" x14ac:dyDescent="0.2">
      <c r="A101" s="18" t="s">
        <v>894</v>
      </c>
      <c r="B101" s="103">
        <v>43280</v>
      </c>
      <c r="C101" s="104">
        <v>43312</v>
      </c>
      <c r="D101" s="195">
        <v>40</v>
      </c>
      <c r="E101" s="14">
        <v>16945.82</v>
      </c>
      <c r="F101" s="14"/>
      <c r="G101" s="14">
        <v>249.95</v>
      </c>
      <c r="H101" s="52">
        <f t="shared" si="0"/>
        <v>17195.77</v>
      </c>
      <c r="I101" s="52">
        <f t="shared" si="1"/>
        <v>17195.77</v>
      </c>
      <c r="J101" s="82"/>
      <c r="K101" s="14"/>
      <c r="L101" s="201"/>
    </row>
    <row r="102" spans="1:12" ht="27.75" customHeight="1" x14ac:dyDescent="0.2">
      <c r="A102" s="18" t="s">
        <v>895</v>
      </c>
      <c r="B102" s="103">
        <v>43280</v>
      </c>
      <c r="C102" s="104">
        <v>43312</v>
      </c>
      <c r="D102" s="195">
        <v>40</v>
      </c>
      <c r="E102" s="14">
        <v>16945.82</v>
      </c>
      <c r="F102" s="14"/>
      <c r="G102" s="14">
        <v>249.95</v>
      </c>
      <c r="H102" s="52">
        <f t="shared" si="0"/>
        <v>17195.77</v>
      </c>
      <c r="I102" s="52">
        <f t="shared" si="1"/>
        <v>17195.77</v>
      </c>
      <c r="J102" s="82"/>
      <c r="K102" s="14"/>
      <c r="L102" s="201"/>
    </row>
    <row r="103" spans="1:12" ht="27.75" customHeight="1" x14ac:dyDescent="0.2">
      <c r="A103" s="18" t="s">
        <v>896</v>
      </c>
      <c r="B103" s="103">
        <v>43280</v>
      </c>
      <c r="C103" s="104">
        <v>43312</v>
      </c>
      <c r="D103" s="195">
        <v>40</v>
      </c>
      <c r="E103" s="14">
        <v>16945.82</v>
      </c>
      <c r="F103" s="14"/>
      <c r="G103" s="14">
        <v>249.95</v>
      </c>
      <c r="H103" s="52">
        <f t="shared" si="0"/>
        <v>17195.77</v>
      </c>
      <c r="I103" s="52">
        <f t="shared" si="1"/>
        <v>17195.77</v>
      </c>
      <c r="J103" s="82"/>
      <c r="K103" s="14"/>
      <c r="L103" s="201"/>
    </row>
    <row r="104" spans="1:12" ht="27.75" customHeight="1" x14ac:dyDescent="0.2">
      <c r="A104" s="18" t="s">
        <v>897</v>
      </c>
      <c r="B104" s="103">
        <v>43280</v>
      </c>
      <c r="C104" s="104">
        <v>43312</v>
      </c>
      <c r="D104" s="195">
        <v>40</v>
      </c>
      <c r="E104" s="14">
        <v>16945.82</v>
      </c>
      <c r="F104" s="14"/>
      <c r="G104" s="14">
        <v>249.95</v>
      </c>
      <c r="H104" s="52">
        <f t="shared" si="0"/>
        <v>17195.77</v>
      </c>
      <c r="I104" s="52">
        <f t="shared" si="1"/>
        <v>17195.77</v>
      </c>
      <c r="J104" s="82"/>
      <c r="K104" s="14"/>
      <c r="L104" s="201"/>
    </row>
    <row r="105" spans="1:12" ht="27.75" customHeight="1" x14ac:dyDescent="0.2">
      <c r="A105" s="18" t="s">
        <v>898</v>
      </c>
      <c r="B105" s="103">
        <v>43280</v>
      </c>
      <c r="C105" s="104">
        <v>43312</v>
      </c>
      <c r="D105" s="195">
        <v>40</v>
      </c>
      <c r="E105" s="14">
        <v>16945.82</v>
      </c>
      <c r="F105" s="14"/>
      <c r="G105" s="14">
        <v>249.95</v>
      </c>
      <c r="H105" s="52">
        <f t="shared" si="0"/>
        <v>17195.77</v>
      </c>
      <c r="I105" s="52">
        <f t="shared" si="1"/>
        <v>17195.77</v>
      </c>
      <c r="J105" s="82"/>
      <c r="K105" s="14"/>
      <c r="L105" s="201"/>
    </row>
    <row r="106" spans="1:12" ht="27.75" customHeight="1" x14ac:dyDescent="0.2">
      <c r="A106" s="18" t="s">
        <v>899</v>
      </c>
      <c r="B106" s="103">
        <v>43280</v>
      </c>
      <c r="C106" s="104">
        <v>43312</v>
      </c>
      <c r="D106" s="195">
        <v>40</v>
      </c>
      <c r="E106" s="14"/>
      <c r="F106" s="14"/>
      <c r="G106" s="14">
        <v>1992.98</v>
      </c>
      <c r="H106" s="52">
        <f t="shared" si="0"/>
        <v>1992.98</v>
      </c>
      <c r="I106" s="52">
        <f t="shared" si="1"/>
        <v>1992.98</v>
      </c>
      <c r="J106" s="82"/>
      <c r="K106" s="14"/>
      <c r="L106" s="201"/>
    </row>
    <row r="107" spans="1:12" ht="27.75" customHeight="1" x14ac:dyDescent="0.2">
      <c r="A107" s="18" t="s">
        <v>900</v>
      </c>
      <c r="B107" s="103">
        <v>43280</v>
      </c>
      <c r="C107" s="104">
        <v>43312</v>
      </c>
      <c r="D107" s="195">
        <v>40</v>
      </c>
      <c r="E107" s="14"/>
      <c r="F107" s="14"/>
      <c r="G107" s="14">
        <v>2391.63</v>
      </c>
      <c r="H107" s="52">
        <f t="shared" si="0"/>
        <v>2391.63</v>
      </c>
      <c r="I107" s="52">
        <f t="shared" si="1"/>
        <v>2391.63</v>
      </c>
      <c r="J107" s="82"/>
      <c r="K107" s="14"/>
      <c r="L107" s="201"/>
    </row>
    <row r="108" spans="1:12" ht="27.75" customHeight="1" x14ac:dyDescent="0.2">
      <c r="A108" s="18" t="s">
        <v>901</v>
      </c>
      <c r="B108" s="103">
        <v>43280</v>
      </c>
      <c r="C108" s="104">
        <v>43312</v>
      </c>
      <c r="D108" s="195">
        <v>40</v>
      </c>
      <c r="E108" s="14"/>
      <c r="F108" s="14"/>
      <c r="G108" s="14">
        <v>1992.98</v>
      </c>
      <c r="H108" s="52">
        <f t="shared" si="0"/>
        <v>1992.98</v>
      </c>
      <c r="I108" s="52">
        <f t="shared" si="1"/>
        <v>1992.98</v>
      </c>
      <c r="J108" s="82"/>
      <c r="K108" s="14"/>
      <c r="L108" s="201"/>
    </row>
    <row r="109" spans="1:12" ht="27.75" customHeight="1" x14ac:dyDescent="0.2">
      <c r="A109" s="18" t="s">
        <v>902</v>
      </c>
      <c r="B109" s="103">
        <v>43280</v>
      </c>
      <c r="C109" s="104">
        <v>43312</v>
      </c>
      <c r="D109" s="195">
        <v>40</v>
      </c>
      <c r="E109" s="14"/>
      <c r="F109" s="14"/>
      <c r="G109" s="14">
        <v>1992.97</v>
      </c>
      <c r="H109" s="52">
        <f t="shared" si="0"/>
        <v>1992.97</v>
      </c>
      <c r="I109" s="52">
        <f t="shared" si="1"/>
        <v>1992.97</v>
      </c>
      <c r="J109" s="82"/>
      <c r="K109" s="14"/>
      <c r="L109" s="201"/>
    </row>
    <row r="110" spans="1:12" ht="27.75" customHeight="1" x14ac:dyDescent="0.2">
      <c r="A110" s="18" t="s">
        <v>903</v>
      </c>
      <c r="B110" s="103">
        <v>43280</v>
      </c>
      <c r="C110" s="104">
        <v>43312</v>
      </c>
      <c r="D110" s="195">
        <v>40</v>
      </c>
      <c r="E110" s="14"/>
      <c r="F110" s="14"/>
      <c r="G110" s="14">
        <v>1992.98</v>
      </c>
      <c r="H110" s="52">
        <f t="shared" si="0"/>
        <v>1992.98</v>
      </c>
      <c r="I110" s="52">
        <f t="shared" si="1"/>
        <v>1992.98</v>
      </c>
      <c r="J110" s="82"/>
      <c r="K110" s="14"/>
      <c r="L110" s="201"/>
    </row>
    <row r="111" spans="1:12" ht="27.75" customHeight="1" x14ac:dyDescent="0.2">
      <c r="A111" s="18" t="s">
        <v>904</v>
      </c>
      <c r="B111" s="103">
        <v>43280</v>
      </c>
      <c r="C111" s="104">
        <v>43312</v>
      </c>
      <c r="D111" s="195">
        <v>40</v>
      </c>
      <c r="E111" s="14"/>
      <c r="F111" s="14"/>
      <c r="G111" s="14">
        <v>1992.97</v>
      </c>
      <c r="H111" s="52">
        <f t="shared" si="0"/>
        <v>1992.97</v>
      </c>
      <c r="I111" s="52">
        <f t="shared" si="1"/>
        <v>1992.97</v>
      </c>
      <c r="J111" s="82"/>
      <c r="K111" s="14"/>
      <c r="L111" s="201"/>
    </row>
    <row r="112" spans="1:12" ht="27.75" customHeight="1" x14ac:dyDescent="0.2">
      <c r="A112" s="18" t="s">
        <v>905</v>
      </c>
      <c r="B112" s="103">
        <v>43280</v>
      </c>
      <c r="C112" s="104">
        <v>43312</v>
      </c>
      <c r="D112" s="195">
        <v>40</v>
      </c>
      <c r="E112" s="14"/>
      <c r="F112" s="14"/>
      <c r="G112" s="14">
        <v>1992.98</v>
      </c>
      <c r="H112" s="52">
        <f t="shared" si="0"/>
        <v>1992.98</v>
      </c>
      <c r="I112" s="52">
        <f t="shared" si="1"/>
        <v>1992.98</v>
      </c>
      <c r="J112" s="82"/>
      <c r="K112" s="14"/>
      <c r="L112" s="201"/>
    </row>
    <row r="113" spans="1:12" ht="27.75" customHeight="1" x14ac:dyDescent="0.2">
      <c r="A113" s="18" t="s">
        <v>906</v>
      </c>
      <c r="B113" s="103">
        <v>43280</v>
      </c>
      <c r="C113" s="104">
        <v>43312</v>
      </c>
      <c r="D113" s="195">
        <v>40</v>
      </c>
      <c r="E113" s="14"/>
      <c r="F113" s="14"/>
      <c r="G113" s="14">
        <v>1992.97</v>
      </c>
      <c r="H113" s="52">
        <f t="shared" si="0"/>
        <v>1992.97</v>
      </c>
      <c r="I113" s="52">
        <f t="shared" si="1"/>
        <v>1992.97</v>
      </c>
      <c r="J113" s="82"/>
      <c r="K113" s="14"/>
      <c r="L113" s="201"/>
    </row>
    <row r="114" spans="1:12" ht="27.75" customHeight="1" x14ac:dyDescent="0.2">
      <c r="A114" s="18" t="s">
        <v>907</v>
      </c>
      <c r="B114" s="103">
        <v>43280</v>
      </c>
      <c r="C114" s="104">
        <v>43312</v>
      </c>
      <c r="D114" s="195">
        <v>40</v>
      </c>
      <c r="E114" s="14"/>
      <c r="F114" s="14"/>
      <c r="G114" s="14">
        <v>1992.97</v>
      </c>
      <c r="H114" s="52">
        <f t="shared" si="0"/>
        <v>1992.97</v>
      </c>
      <c r="I114" s="52">
        <f t="shared" si="1"/>
        <v>1992.97</v>
      </c>
      <c r="J114" s="82"/>
      <c r="K114" s="14"/>
      <c r="L114" s="201"/>
    </row>
    <row r="115" spans="1:12" ht="27.75" customHeight="1" x14ac:dyDescent="0.2">
      <c r="A115" s="18" t="s">
        <v>908</v>
      </c>
      <c r="B115" s="103">
        <v>43280</v>
      </c>
      <c r="C115" s="104">
        <v>43312</v>
      </c>
      <c r="D115" s="195">
        <v>40</v>
      </c>
      <c r="E115" s="14"/>
      <c r="F115" s="14"/>
      <c r="G115" s="14">
        <v>1992.97</v>
      </c>
      <c r="H115" s="52">
        <f t="shared" si="0"/>
        <v>1992.97</v>
      </c>
      <c r="I115" s="52">
        <f t="shared" si="1"/>
        <v>1992.97</v>
      </c>
      <c r="J115" s="82"/>
      <c r="K115" s="14"/>
      <c r="L115" s="201"/>
    </row>
    <row r="116" spans="1:12" ht="27.75" customHeight="1" x14ac:dyDescent="0.2">
      <c r="A116" s="18" t="s">
        <v>909</v>
      </c>
      <c r="B116" s="103">
        <v>43280</v>
      </c>
      <c r="C116" s="104">
        <v>43312</v>
      </c>
      <c r="D116" s="195">
        <v>40</v>
      </c>
      <c r="E116" s="14"/>
      <c r="F116" s="14"/>
      <c r="G116" s="14">
        <v>1992.97</v>
      </c>
      <c r="H116" s="52">
        <f t="shared" si="0"/>
        <v>1992.97</v>
      </c>
      <c r="I116" s="52">
        <f t="shared" si="1"/>
        <v>1992.97</v>
      </c>
      <c r="J116" s="82"/>
      <c r="K116" s="14"/>
      <c r="L116" s="201"/>
    </row>
    <row r="117" spans="1:12" ht="12" customHeight="1" x14ac:dyDescent="0.2">
      <c r="A117" s="18" t="s">
        <v>933</v>
      </c>
      <c r="B117" s="103">
        <v>43280</v>
      </c>
      <c r="C117" s="104">
        <v>43312</v>
      </c>
      <c r="D117" s="195">
        <v>40</v>
      </c>
      <c r="E117" s="14"/>
      <c r="F117" s="14"/>
      <c r="G117" s="14">
        <v>1992.98</v>
      </c>
      <c r="H117" s="52">
        <f>F117+E117+G117</f>
        <v>1992.98</v>
      </c>
      <c r="I117" s="52">
        <f>H117</f>
        <v>1992.98</v>
      </c>
      <c r="J117" s="82"/>
      <c r="K117" s="14"/>
      <c r="L117" s="201"/>
    </row>
    <row r="118" spans="1:12" ht="27.75" customHeight="1" x14ac:dyDescent="0.2">
      <c r="A118" s="18" t="s">
        <v>910</v>
      </c>
      <c r="B118" s="103">
        <v>43280</v>
      </c>
      <c r="C118" s="104">
        <v>43312</v>
      </c>
      <c r="D118" s="195">
        <v>40</v>
      </c>
      <c r="E118" s="14"/>
      <c r="F118" s="14"/>
      <c r="G118" s="14">
        <v>2391.62</v>
      </c>
      <c r="H118" s="52">
        <f t="shared" si="0"/>
        <v>2391.62</v>
      </c>
      <c r="I118" s="52">
        <f t="shared" si="1"/>
        <v>2391.62</v>
      </c>
      <c r="J118" s="82"/>
      <c r="K118" s="14"/>
      <c r="L118" s="201"/>
    </row>
    <row r="119" spans="1:12" ht="27.75" customHeight="1" x14ac:dyDescent="0.2">
      <c r="A119" s="18" t="s">
        <v>911</v>
      </c>
      <c r="B119" s="103">
        <v>43280</v>
      </c>
      <c r="C119" s="104">
        <v>43312</v>
      </c>
      <c r="D119" s="195">
        <v>40</v>
      </c>
      <c r="E119" s="14"/>
      <c r="F119" s="14"/>
      <c r="G119" s="14">
        <v>1992.98</v>
      </c>
      <c r="H119" s="52">
        <f t="shared" si="0"/>
        <v>1992.98</v>
      </c>
      <c r="I119" s="52">
        <f t="shared" si="1"/>
        <v>1992.98</v>
      </c>
      <c r="J119" s="82"/>
      <c r="K119" s="14"/>
      <c r="L119" s="201"/>
    </row>
    <row r="120" spans="1:12" ht="27.75" customHeight="1" x14ac:dyDescent="0.2">
      <c r="A120" s="18" t="s">
        <v>912</v>
      </c>
      <c r="B120" s="103">
        <v>43280</v>
      </c>
      <c r="C120" s="104">
        <v>43312</v>
      </c>
      <c r="D120" s="195">
        <v>40</v>
      </c>
      <c r="E120" s="14"/>
      <c r="F120" s="14"/>
      <c r="G120" s="14">
        <v>1992.98</v>
      </c>
      <c r="H120" s="52">
        <f t="shared" si="0"/>
        <v>1992.98</v>
      </c>
      <c r="I120" s="52">
        <f t="shared" si="1"/>
        <v>1992.98</v>
      </c>
      <c r="J120" s="82"/>
      <c r="K120" s="14"/>
      <c r="L120" s="201"/>
    </row>
    <row r="121" spans="1:12" ht="27.75" customHeight="1" x14ac:dyDescent="0.2">
      <c r="A121" s="18" t="s">
        <v>913</v>
      </c>
      <c r="B121" s="103">
        <v>43280</v>
      </c>
      <c r="C121" s="104">
        <v>43312</v>
      </c>
      <c r="D121" s="195">
        <v>40</v>
      </c>
      <c r="E121" s="14"/>
      <c r="F121" s="14"/>
      <c r="G121" s="14">
        <v>1992.98</v>
      </c>
      <c r="H121" s="52">
        <f t="shared" si="0"/>
        <v>1992.98</v>
      </c>
      <c r="I121" s="52">
        <f t="shared" si="1"/>
        <v>1992.98</v>
      </c>
      <c r="J121" s="82"/>
      <c r="K121" s="14"/>
      <c r="L121" s="201"/>
    </row>
    <row r="122" spans="1:12" ht="27.75" customHeight="1" x14ac:dyDescent="0.2">
      <c r="A122" s="18" t="s">
        <v>914</v>
      </c>
      <c r="B122" s="103">
        <v>43280</v>
      </c>
      <c r="C122" s="104">
        <v>43312</v>
      </c>
      <c r="D122" s="195">
        <v>40</v>
      </c>
      <c r="E122" s="14"/>
      <c r="F122" s="14"/>
      <c r="G122" s="14">
        <v>2391.62</v>
      </c>
      <c r="H122" s="52">
        <f t="shared" si="0"/>
        <v>2391.62</v>
      </c>
      <c r="I122" s="52">
        <f t="shared" si="1"/>
        <v>2391.62</v>
      </c>
      <c r="J122" s="82"/>
      <c r="K122" s="14"/>
      <c r="L122" s="201"/>
    </row>
    <row r="123" spans="1:12" ht="27.75" customHeight="1" x14ac:dyDescent="0.2">
      <c r="A123" s="18" t="s">
        <v>915</v>
      </c>
      <c r="B123" s="103">
        <v>43280</v>
      </c>
      <c r="C123" s="104">
        <v>43312</v>
      </c>
      <c r="D123" s="195">
        <v>40</v>
      </c>
      <c r="E123" s="14"/>
      <c r="F123" s="14"/>
      <c r="G123" s="14">
        <v>1992.97</v>
      </c>
      <c r="H123" s="52">
        <f t="shared" si="0"/>
        <v>1992.97</v>
      </c>
      <c r="I123" s="52">
        <f t="shared" si="1"/>
        <v>1992.97</v>
      </c>
      <c r="J123" s="82"/>
      <c r="K123" s="14"/>
      <c r="L123" s="201"/>
    </row>
    <row r="124" spans="1:12" ht="27.75" customHeight="1" x14ac:dyDescent="0.2">
      <c r="A124" s="18" t="s">
        <v>916</v>
      </c>
      <c r="B124" s="103">
        <v>43280</v>
      </c>
      <c r="C124" s="104">
        <v>43312</v>
      </c>
      <c r="D124" s="195">
        <v>40</v>
      </c>
      <c r="E124" s="14"/>
      <c r="F124" s="14"/>
      <c r="G124" s="14">
        <v>2391.63</v>
      </c>
      <c r="H124" s="52">
        <f t="shared" si="0"/>
        <v>2391.63</v>
      </c>
      <c r="I124" s="52">
        <f t="shared" si="1"/>
        <v>2391.63</v>
      </c>
      <c r="J124" s="82"/>
      <c r="K124" s="14"/>
      <c r="L124" s="201"/>
    </row>
    <row r="125" spans="1:12" ht="27.75" customHeight="1" x14ac:dyDescent="0.2">
      <c r="A125" s="18" t="s">
        <v>917</v>
      </c>
      <c r="B125" s="103">
        <v>43280</v>
      </c>
      <c r="C125" s="104">
        <v>43312</v>
      </c>
      <c r="D125" s="195">
        <v>40</v>
      </c>
      <c r="E125" s="14"/>
      <c r="F125" s="14"/>
      <c r="G125" s="14">
        <v>1992.98</v>
      </c>
      <c r="H125" s="52">
        <f t="shared" si="0"/>
        <v>1992.98</v>
      </c>
      <c r="I125" s="52">
        <f t="shared" si="1"/>
        <v>1992.98</v>
      </c>
      <c r="J125" s="82"/>
      <c r="K125" s="14"/>
      <c r="L125" s="201"/>
    </row>
    <row r="126" spans="1:12" ht="27.75" customHeight="1" x14ac:dyDescent="0.2">
      <c r="A126" s="18" t="s">
        <v>918</v>
      </c>
      <c r="B126" s="103">
        <v>43280</v>
      </c>
      <c r="C126" s="104">
        <v>43312</v>
      </c>
      <c r="D126" s="195">
        <v>40</v>
      </c>
      <c r="E126" s="14"/>
      <c r="F126" s="14"/>
      <c r="G126" s="14">
        <v>1992.98</v>
      </c>
      <c r="H126" s="52">
        <f t="shared" si="0"/>
        <v>1992.98</v>
      </c>
      <c r="I126" s="52">
        <f t="shared" si="1"/>
        <v>1992.98</v>
      </c>
      <c r="J126" s="82"/>
      <c r="K126" s="14"/>
      <c r="L126" s="201"/>
    </row>
    <row r="127" spans="1:12" ht="27.75" customHeight="1" x14ac:dyDescent="0.2">
      <c r="A127" s="18" t="s">
        <v>919</v>
      </c>
      <c r="B127" s="103">
        <v>43280</v>
      </c>
      <c r="C127" s="104">
        <v>43312</v>
      </c>
      <c r="D127" s="195">
        <v>40</v>
      </c>
      <c r="E127" s="14"/>
      <c r="F127" s="14"/>
      <c r="G127" s="14">
        <v>1992.97</v>
      </c>
      <c r="H127" s="52">
        <f t="shared" si="0"/>
        <v>1992.97</v>
      </c>
      <c r="I127" s="52">
        <f t="shared" si="1"/>
        <v>1992.97</v>
      </c>
      <c r="J127" s="82"/>
      <c r="K127" s="14"/>
      <c r="L127" s="201"/>
    </row>
    <row r="128" spans="1:12" ht="27.75" customHeight="1" x14ac:dyDescent="0.2">
      <c r="A128" s="18" t="s">
        <v>920</v>
      </c>
      <c r="B128" s="103">
        <v>43280</v>
      </c>
      <c r="C128" s="104">
        <v>43312</v>
      </c>
      <c r="D128" s="195">
        <v>40</v>
      </c>
      <c r="E128" s="14"/>
      <c r="F128" s="14"/>
      <c r="G128" s="14">
        <v>1992.98</v>
      </c>
      <c r="H128" s="52">
        <f t="shared" si="0"/>
        <v>1992.98</v>
      </c>
      <c r="I128" s="52">
        <f t="shared" si="1"/>
        <v>1992.98</v>
      </c>
      <c r="J128" s="82"/>
      <c r="K128" s="14"/>
      <c r="L128" s="201"/>
    </row>
    <row r="129" spans="1:12" ht="27.75" customHeight="1" x14ac:dyDescent="0.2">
      <c r="A129" s="18" t="s">
        <v>921</v>
      </c>
      <c r="B129" s="103">
        <v>43280</v>
      </c>
      <c r="C129" s="104">
        <v>43312</v>
      </c>
      <c r="D129" s="195">
        <v>40</v>
      </c>
      <c r="E129" s="14"/>
      <c r="F129" s="14"/>
      <c r="G129" s="14">
        <v>1992.97</v>
      </c>
      <c r="H129" s="52">
        <f t="shared" si="0"/>
        <v>1992.97</v>
      </c>
      <c r="I129" s="52">
        <f t="shared" si="1"/>
        <v>1992.97</v>
      </c>
      <c r="J129" s="82"/>
      <c r="K129" s="14"/>
      <c r="L129" s="201"/>
    </row>
    <row r="130" spans="1:12" ht="27.75" customHeight="1" x14ac:dyDescent="0.2">
      <c r="A130" s="18" t="s">
        <v>922</v>
      </c>
      <c r="B130" s="103">
        <v>43280</v>
      </c>
      <c r="C130" s="104">
        <v>43312</v>
      </c>
      <c r="D130" s="195">
        <v>40</v>
      </c>
      <c r="E130" s="14"/>
      <c r="F130" s="14"/>
      <c r="G130" s="14">
        <v>1992.98</v>
      </c>
      <c r="H130" s="52">
        <f t="shared" si="0"/>
        <v>1992.98</v>
      </c>
      <c r="I130" s="52">
        <f t="shared" si="1"/>
        <v>1992.98</v>
      </c>
      <c r="J130" s="82"/>
      <c r="K130" s="14"/>
      <c r="L130" s="201"/>
    </row>
    <row r="131" spans="1:12" ht="27.75" customHeight="1" x14ac:dyDescent="0.2">
      <c r="A131" s="18" t="s">
        <v>923</v>
      </c>
      <c r="B131" s="103">
        <v>43280</v>
      </c>
      <c r="C131" s="104">
        <v>43312</v>
      </c>
      <c r="D131" s="195">
        <v>40</v>
      </c>
      <c r="E131" s="14">
        <v>16945.82</v>
      </c>
      <c r="F131" s="14"/>
      <c r="G131" s="14">
        <v>249.95</v>
      </c>
      <c r="H131" s="52">
        <f t="shared" si="0"/>
        <v>17195.77</v>
      </c>
      <c r="I131" s="52">
        <f t="shared" si="1"/>
        <v>17195.77</v>
      </c>
      <c r="J131" s="82"/>
      <c r="K131" s="14"/>
      <c r="L131" s="201"/>
    </row>
    <row r="132" spans="1:12" ht="27.75" customHeight="1" x14ac:dyDescent="0.2">
      <c r="A132" s="18" t="s">
        <v>924</v>
      </c>
      <c r="B132" s="103">
        <v>43280</v>
      </c>
      <c r="C132" s="104">
        <v>43312</v>
      </c>
      <c r="D132" s="195">
        <v>40</v>
      </c>
      <c r="E132" s="14"/>
      <c r="F132" s="14"/>
      <c r="G132" s="14">
        <v>907.7</v>
      </c>
      <c r="H132" s="52">
        <f t="shared" si="0"/>
        <v>907.7</v>
      </c>
      <c r="I132" s="52">
        <f t="shared" si="1"/>
        <v>907.7</v>
      </c>
      <c r="J132" s="82"/>
      <c r="K132" s="14"/>
      <c r="L132" s="201"/>
    </row>
    <row r="133" spans="1:12" ht="27.75" customHeight="1" x14ac:dyDescent="0.2">
      <c r="A133" s="18" t="s">
        <v>925</v>
      </c>
      <c r="B133" s="103">
        <v>43280</v>
      </c>
      <c r="C133" s="104">
        <v>43312</v>
      </c>
      <c r="D133" s="195">
        <v>40</v>
      </c>
      <c r="E133" s="14">
        <v>16945.82</v>
      </c>
      <c r="F133" s="14"/>
      <c r="G133" s="14">
        <v>249.95</v>
      </c>
      <c r="H133" s="52">
        <f t="shared" si="0"/>
        <v>17195.77</v>
      </c>
      <c r="I133" s="52">
        <f t="shared" si="1"/>
        <v>17195.77</v>
      </c>
      <c r="J133" s="82"/>
      <c r="K133" s="14"/>
      <c r="L133" s="201"/>
    </row>
    <row r="134" spans="1:12" ht="27.75" customHeight="1" x14ac:dyDescent="0.2">
      <c r="A134" s="18" t="s">
        <v>926</v>
      </c>
      <c r="B134" s="103">
        <v>43280</v>
      </c>
      <c r="C134" s="104">
        <v>43312</v>
      </c>
      <c r="D134" s="195">
        <v>40</v>
      </c>
      <c r="E134" s="14">
        <v>16945.82</v>
      </c>
      <c r="F134" s="14"/>
      <c r="G134" s="14">
        <v>249.95</v>
      </c>
      <c r="H134" s="52">
        <f t="shared" si="0"/>
        <v>17195.77</v>
      </c>
      <c r="I134" s="52">
        <f t="shared" si="1"/>
        <v>17195.77</v>
      </c>
      <c r="J134" s="82"/>
      <c r="K134" s="14"/>
      <c r="L134" s="201"/>
    </row>
    <row r="135" spans="1:12" ht="27.75" customHeight="1" x14ac:dyDescent="0.2">
      <c r="A135" s="18" t="s">
        <v>927</v>
      </c>
      <c r="B135" s="103">
        <v>43280</v>
      </c>
      <c r="C135" s="104">
        <v>43312</v>
      </c>
      <c r="D135" s="195">
        <v>40</v>
      </c>
      <c r="E135" s="14">
        <v>16945.82</v>
      </c>
      <c r="F135" s="14"/>
      <c r="G135" s="14">
        <v>249.95</v>
      </c>
      <c r="H135" s="52">
        <f t="shared" si="0"/>
        <v>17195.77</v>
      </c>
      <c r="I135" s="52">
        <f t="shared" si="1"/>
        <v>17195.77</v>
      </c>
      <c r="J135" s="82"/>
      <c r="K135" s="14"/>
      <c r="L135" s="201"/>
    </row>
    <row r="136" spans="1:12" ht="27.75" customHeight="1" x14ac:dyDescent="0.2">
      <c r="A136" s="18" t="s">
        <v>928</v>
      </c>
      <c r="B136" s="103">
        <v>43280</v>
      </c>
      <c r="C136" s="104">
        <v>43312</v>
      </c>
      <c r="D136" s="195">
        <v>40</v>
      </c>
      <c r="E136" s="14">
        <v>16945.86</v>
      </c>
      <c r="F136" s="14"/>
      <c r="G136" s="14">
        <v>249.96</v>
      </c>
      <c r="H136" s="52">
        <f t="shared" si="0"/>
        <v>17195.82</v>
      </c>
      <c r="I136" s="52">
        <f t="shared" si="1"/>
        <v>17195.82</v>
      </c>
      <c r="J136" s="82"/>
      <c r="K136" s="14"/>
      <c r="L136" s="201"/>
    </row>
    <row r="137" spans="1:12" ht="27.75" customHeight="1" x14ac:dyDescent="0.2">
      <c r="A137" s="18" t="s">
        <v>929</v>
      </c>
      <c r="B137" s="103">
        <v>43280</v>
      </c>
      <c r="C137" s="104">
        <v>43312</v>
      </c>
      <c r="D137" s="195">
        <v>40</v>
      </c>
      <c r="E137" s="14">
        <v>16945.810000000001</v>
      </c>
      <c r="F137" s="14"/>
      <c r="G137" s="14">
        <v>249.95</v>
      </c>
      <c r="H137" s="52">
        <f t="shared" si="0"/>
        <v>17195.760000000002</v>
      </c>
      <c r="I137" s="52">
        <f t="shared" si="1"/>
        <v>17195.760000000002</v>
      </c>
      <c r="J137" s="82"/>
      <c r="K137" s="14"/>
      <c r="L137" s="201"/>
    </row>
    <row r="138" spans="1:12" ht="27.75" customHeight="1" x14ac:dyDescent="0.2">
      <c r="A138" s="18" t="s">
        <v>930</v>
      </c>
      <c r="B138" s="103">
        <v>43280</v>
      </c>
      <c r="C138" s="104">
        <v>43312</v>
      </c>
      <c r="D138" s="195">
        <v>40</v>
      </c>
      <c r="E138" s="14">
        <v>16945.82</v>
      </c>
      <c r="F138" s="14"/>
      <c r="G138" s="14">
        <v>249.95</v>
      </c>
      <c r="H138" s="52">
        <f t="shared" si="0"/>
        <v>17195.77</v>
      </c>
      <c r="I138" s="52">
        <f t="shared" si="1"/>
        <v>17195.77</v>
      </c>
      <c r="J138" s="82"/>
      <c r="K138" s="14"/>
      <c r="L138" s="201"/>
    </row>
    <row r="139" spans="1:12" ht="27.75" customHeight="1" x14ac:dyDescent="0.2">
      <c r="A139" s="18" t="s">
        <v>931</v>
      </c>
      <c r="B139" s="103">
        <v>43280</v>
      </c>
      <c r="C139" s="104">
        <v>43312</v>
      </c>
      <c r="D139" s="195">
        <v>40</v>
      </c>
      <c r="E139" s="14">
        <v>16945.82</v>
      </c>
      <c r="F139" s="14"/>
      <c r="G139" s="14">
        <v>249.95</v>
      </c>
      <c r="H139" s="52">
        <f t="shared" si="0"/>
        <v>17195.77</v>
      </c>
      <c r="I139" s="52">
        <f t="shared" si="1"/>
        <v>17195.77</v>
      </c>
      <c r="J139" s="82"/>
      <c r="K139" s="14"/>
      <c r="L139" s="201"/>
    </row>
    <row r="140" spans="1:12" ht="28.5" customHeight="1" x14ac:dyDescent="0.2">
      <c r="A140" s="18" t="s">
        <v>229</v>
      </c>
      <c r="B140" s="103">
        <v>43069</v>
      </c>
      <c r="C140" s="103">
        <v>43464</v>
      </c>
      <c r="D140" s="195">
        <v>50</v>
      </c>
      <c r="E140" s="14">
        <v>59359.040000000001</v>
      </c>
      <c r="F140" s="14">
        <v>875.54</v>
      </c>
      <c r="G140" s="14"/>
      <c r="H140" s="52">
        <f t="shared" si="0"/>
        <v>60234.58</v>
      </c>
      <c r="I140" s="52">
        <f t="shared" si="1"/>
        <v>60234.58</v>
      </c>
      <c r="J140" s="82"/>
      <c r="K140" s="14"/>
      <c r="L140" s="219"/>
    </row>
    <row r="141" spans="1:12" ht="31.5" customHeight="1" x14ac:dyDescent="0.2">
      <c r="A141" s="18" t="s">
        <v>230</v>
      </c>
      <c r="B141" s="103">
        <v>43069</v>
      </c>
      <c r="C141" s="103">
        <v>43464</v>
      </c>
      <c r="D141" s="195">
        <v>50</v>
      </c>
      <c r="E141" s="14">
        <v>59359.040000000001</v>
      </c>
      <c r="F141" s="14">
        <v>875.54</v>
      </c>
      <c r="G141" s="14"/>
      <c r="H141" s="52">
        <f t="shared" si="0"/>
        <v>60234.58</v>
      </c>
      <c r="I141" s="52">
        <f t="shared" ref="I141" si="4">H141</f>
        <v>60234.58</v>
      </c>
      <c r="J141" s="82"/>
      <c r="K141" s="14"/>
      <c r="L141" s="219"/>
    </row>
    <row r="142" spans="1:12" ht="12.75" x14ac:dyDescent="0.2">
      <c r="A142" s="18"/>
      <c r="B142" s="103"/>
      <c r="C142" s="103"/>
      <c r="D142" s="194"/>
      <c r="E142" s="68">
        <f>SUM(E10:E141)</f>
        <v>23359506.450000003</v>
      </c>
      <c r="F142" s="68">
        <f>SUM(F10:F141)</f>
        <v>156887778.37999994</v>
      </c>
      <c r="G142" s="68">
        <f>SUM(G10:G141)</f>
        <v>5724455.2100000149</v>
      </c>
      <c r="H142" s="58">
        <f>SUM(H10:H141)</f>
        <v>185971740.03999937</v>
      </c>
      <c r="I142" s="58">
        <f>SUM(I10:I141)</f>
        <v>185971740.03999937</v>
      </c>
      <c r="J142" s="14"/>
      <c r="K142" s="150"/>
      <c r="L142" s="201"/>
    </row>
    <row r="143" spans="1:12" ht="19.5" customHeight="1" x14ac:dyDescent="0.2">
      <c r="A143" s="20" t="s">
        <v>30</v>
      </c>
      <c r="B143" s="103"/>
      <c r="C143" s="103"/>
      <c r="D143" s="194"/>
      <c r="E143" s="14"/>
      <c r="F143" s="14"/>
      <c r="G143" s="14"/>
      <c r="H143" s="58"/>
      <c r="I143" s="58"/>
      <c r="J143" s="14"/>
      <c r="K143" s="43"/>
      <c r="L143" s="201"/>
    </row>
    <row r="144" spans="1:12" s="5" customFormat="1" ht="24" x14ac:dyDescent="0.2">
      <c r="A144" s="18" t="s">
        <v>4</v>
      </c>
      <c r="B144" s="103">
        <v>40908</v>
      </c>
      <c r="C144" s="104">
        <v>43373</v>
      </c>
      <c r="D144" s="195">
        <v>80</v>
      </c>
      <c r="E144" s="14">
        <f>13200000+2707301.99+580136.14+62000</f>
        <v>16549438.130000001</v>
      </c>
      <c r="F144" s="14">
        <f>40759382.84+14620266.69+41145419.04+277511.54</f>
        <v>96802580.109999999</v>
      </c>
      <c r="G144" s="69">
        <f>3653177.36+149326.33+99169.94+99169.94+100259.74+40218.8+5670.35+315.02+1599546.72+574503.27+386757.42+1265094.34+30524.47-69396.41+193378.72+2216140.44+15087.83</f>
        <v>10358944.279999999</v>
      </c>
      <c r="H144" s="52">
        <f t="shared" ref="H144:H163" si="5">F144+E144+G144</f>
        <v>123710962.52</v>
      </c>
      <c r="I144" s="52">
        <f>H144</f>
        <v>123710962.52</v>
      </c>
      <c r="J144" s="14"/>
      <c r="K144" s="14"/>
      <c r="L144" s="217" t="s">
        <v>1427</v>
      </c>
    </row>
    <row r="145" spans="1:12" ht="27.75" customHeight="1" x14ac:dyDescent="0.2">
      <c r="A145" s="21" t="s">
        <v>31</v>
      </c>
      <c r="B145" s="104">
        <v>41453</v>
      </c>
      <c r="C145" s="104">
        <v>43830</v>
      </c>
      <c r="D145" s="195">
        <v>95</v>
      </c>
      <c r="E145" s="14">
        <v>29999152.550000001</v>
      </c>
      <c r="F145" s="14">
        <f>95787807.63+19171271.22+47818712.57+16863329.81+82013971.52+76435731.88+16440675</f>
        <v>354531499.63</v>
      </c>
      <c r="G145" s="14">
        <f>28393126.87+12138785.06+2762993.51+2432526.53+2463689.24+2238316.11+2460368.89+1787065.04+1720876.28+2746129.26+4105308.63+4445189.4</f>
        <v>67694374.820000008</v>
      </c>
      <c r="H145" s="52">
        <f t="shared" si="5"/>
        <v>452225027</v>
      </c>
      <c r="I145" s="52">
        <f>H145</f>
        <v>452225027</v>
      </c>
      <c r="J145" s="14"/>
      <c r="K145" s="14"/>
      <c r="L145" s="216" t="s">
        <v>1428</v>
      </c>
    </row>
    <row r="146" spans="1:12" ht="27.75" customHeight="1" x14ac:dyDescent="0.2">
      <c r="A146" s="18" t="s">
        <v>127</v>
      </c>
      <c r="B146" s="103">
        <v>42674</v>
      </c>
      <c r="C146" s="104">
        <v>43435</v>
      </c>
      <c r="D146" s="195">
        <v>95</v>
      </c>
      <c r="E146" s="14">
        <f>3236678.76+578321.24</f>
        <v>3815000</v>
      </c>
      <c r="F146" s="14">
        <f>294183.02+5483864.8</f>
        <v>5778047.8200000003</v>
      </c>
      <c r="G146" s="14">
        <f>56271.25+117025.97+0.53+340.1+45584.35+1959.16</f>
        <v>221181.36000000002</v>
      </c>
      <c r="H146" s="52">
        <f>F146+E146+G146</f>
        <v>9814229.1799999997</v>
      </c>
      <c r="I146" s="52">
        <f>H146</f>
        <v>9814229.1799999997</v>
      </c>
      <c r="J146" s="19"/>
      <c r="K146" s="14"/>
      <c r="L146" s="217" t="s">
        <v>1429</v>
      </c>
    </row>
    <row r="147" spans="1:12" ht="12.75" customHeight="1" x14ac:dyDescent="0.2">
      <c r="A147" s="21" t="s">
        <v>231</v>
      </c>
      <c r="B147" s="104">
        <v>43039</v>
      </c>
      <c r="C147" s="104">
        <v>44196</v>
      </c>
      <c r="D147" s="195">
        <v>40</v>
      </c>
      <c r="E147" s="14">
        <f>3227106.13+248810.97</f>
        <v>3475917.1</v>
      </c>
      <c r="F147" s="14"/>
      <c r="G147" s="14">
        <f>62694.52+4375.83+77241+89717.16</f>
        <v>234028.50999999998</v>
      </c>
      <c r="H147" s="52">
        <f t="shared" si="5"/>
        <v>3709945.61</v>
      </c>
      <c r="I147" s="52">
        <f>H147</f>
        <v>3709945.61</v>
      </c>
      <c r="J147" s="14"/>
      <c r="K147" s="14"/>
      <c r="L147" s="201"/>
    </row>
    <row r="148" spans="1:12" ht="12.75" customHeight="1" x14ac:dyDescent="0.2">
      <c r="A148" s="18" t="s">
        <v>57</v>
      </c>
      <c r="B148" s="103">
        <v>42654</v>
      </c>
      <c r="C148" s="104">
        <v>44196</v>
      </c>
      <c r="D148" s="195">
        <v>40</v>
      </c>
      <c r="E148" s="14">
        <f>10164299.64+852649.51</f>
        <v>11016949.15</v>
      </c>
      <c r="F148" s="14"/>
      <c r="G148" s="69">
        <f>162500+37464.63+66355.04+330510.14+325192.48+328677.01+1652542.5+330307.52+550847.5+370629.32+393204.71</f>
        <v>4548230.8499999996</v>
      </c>
      <c r="H148" s="52">
        <f t="shared" si="5"/>
        <v>15565180</v>
      </c>
      <c r="I148" s="52">
        <f t="shared" ref="I148:I163" si="6">H148</f>
        <v>15565180</v>
      </c>
      <c r="J148" s="84"/>
      <c r="K148" s="14"/>
      <c r="L148" s="201"/>
    </row>
    <row r="149" spans="1:12" ht="12" customHeight="1" x14ac:dyDescent="0.2">
      <c r="A149" s="18" t="s">
        <v>6</v>
      </c>
      <c r="B149" s="103">
        <v>40908</v>
      </c>
      <c r="C149" s="104">
        <v>45291</v>
      </c>
      <c r="D149" s="195">
        <v>40</v>
      </c>
      <c r="E149" s="69">
        <v>16052542.369999999</v>
      </c>
      <c r="F149" s="14"/>
      <c r="G149" s="69">
        <f>5805556.4+306688.84+239437.02+239437+242068.17+131184.75+78873.25</f>
        <v>7043245.4299999997</v>
      </c>
      <c r="H149" s="52">
        <f t="shared" si="5"/>
        <v>23095787.799999997</v>
      </c>
      <c r="I149" s="52">
        <f t="shared" si="6"/>
        <v>23095787.799999997</v>
      </c>
      <c r="J149" s="84"/>
      <c r="K149" s="14"/>
      <c r="L149" s="219"/>
    </row>
    <row r="150" spans="1:12" ht="24" x14ac:dyDescent="0.2">
      <c r="A150" s="18" t="s">
        <v>232</v>
      </c>
      <c r="B150" s="103">
        <v>43039</v>
      </c>
      <c r="C150" s="103">
        <v>43738</v>
      </c>
      <c r="D150" s="195">
        <v>40</v>
      </c>
      <c r="E150" s="69">
        <f>4525233.81+390809.21</f>
        <v>4916043.0199999996</v>
      </c>
      <c r="F150" s="14"/>
      <c r="G150" s="14">
        <f>92277.64+9434.01+112911.81+125806.59</f>
        <v>340430.05</v>
      </c>
      <c r="H150" s="52">
        <f t="shared" si="5"/>
        <v>5256473.0699999994</v>
      </c>
      <c r="I150" s="52">
        <f t="shared" si="6"/>
        <v>5256473.0699999994</v>
      </c>
      <c r="J150" s="19"/>
      <c r="K150" s="14"/>
      <c r="L150" s="201"/>
    </row>
    <row r="151" spans="1:12" x14ac:dyDescent="0.2">
      <c r="A151" s="22" t="s">
        <v>250</v>
      </c>
      <c r="B151" s="103">
        <v>43039</v>
      </c>
      <c r="C151" s="103">
        <v>43647</v>
      </c>
      <c r="D151" s="195">
        <v>40</v>
      </c>
      <c r="E151" s="14">
        <v>858516.91</v>
      </c>
      <c r="F151" s="14"/>
      <c r="G151" s="14">
        <f>55924.56+12663.12+772.8</f>
        <v>69360.479999999996</v>
      </c>
      <c r="H151" s="52">
        <f>F151+E151+G151</f>
        <v>927877.39</v>
      </c>
      <c r="I151" s="52">
        <f>H151</f>
        <v>927877.39</v>
      </c>
      <c r="J151" s="19"/>
      <c r="K151" s="14"/>
      <c r="L151" s="201"/>
    </row>
    <row r="152" spans="1:12" ht="28.5" customHeight="1" x14ac:dyDescent="0.2">
      <c r="A152" s="18" t="s">
        <v>7</v>
      </c>
      <c r="B152" s="103">
        <v>40908</v>
      </c>
      <c r="C152" s="104">
        <v>43435</v>
      </c>
      <c r="D152" s="195">
        <v>95</v>
      </c>
      <c r="E152" s="14">
        <f>9900000+1430025.49+306434.03+13689058.87</f>
        <v>25325518.390000001</v>
      </c>
      <c r="F152" s="14">
        <f>50041.23+214120.58</f>
        <v>264161.81</v>
      </c>
      <c r="G152" s="69">
        <f>3317700.86+173314.33+134628.77+134628.77+136108.24+78329.93+50195.3+2788.63+30132.68+349086.47+13454.42+312909.56+42238.9+355965.85+6794.44</f>
        <v>5138277.1499999994</v>
      </c>
      <c r="H152" s="52">
        <f t="shared" si="5"/>
        <v>30727957.349999998</v>
      </c>
      <c r="I152" s="52">
        <f t="shared" si="6"/>
        <v>30727957.349999998</v>
      </c>
      <c r="J152" s="14"/>
      <c r="K152" s="14"/>
      <c r="L152" s="217" t="s">
        <v>1430</v>
      </c>
    </row>
    <row r="153" spans="1:12" ht="30" customHeight="1" x14ac:dyDescent="0.2">
      <c r="A153" s="18" t="s">
        <v>8</v>
      </c>
      <c r="B153" s="103">
        <v>40908</v>
      </c>
      <c r="C153" s="104">
        <v>43435</v>
      </c>
      <c r="D153" s="195">
        <v>95</v>
      </c>
      <c r="E153" s="14">
        <f>9900000+2653796.74+568670.73</f>
        <v>13122467.470000001</v>
      </c>
      <c r="F153" s="14">
        <f>86834.66+20398314.81+332450.37</f>
        <v>20817599.84</v>
      </c>
      <c r="G153" s="69">
        <f>3304642.14+173314.33+134628.75+134628.76+136108.23+78329.94+50195.3+2788.63+493418.86+25085.57+379113.82+78146.41+189556.92+472398.84+13154.93</f>
        <v>5665511.4300000006</v>
      </c>
      <c r="H153" s="52">
        <f t="shared" si="5"/>
        <v>39605578.740000002</v>
      </c>
      <c r="I153" s="52">
        <f t="shared" si="6"/>
        <v>39605578.740000002</v>
      </c>
      <c r="J153" s="84"/>
      <c r="K153" s="14"/>
      <c r="L153" s="217" t="s">
        <v>1431</v>
      </c>
    </row>
    <row r="154" spans="1:12" ht="30.75" customHeight="1" x14ac:dyDescent="0.2">
      <c r="A154" s="18" t="s">
        <v>59</v>
      </c>
      <c r="B154" s="103">
        <v>42654</v>
      </c>
      <c r="C154" s="104">
        <v>43830</v>
      </c>
      <c r="D154" s="195">
        <v>50</v>
      </c>
      <c r="E154" s="14">
        <f>7502441.36+286700.05</f>
        <v>7789141.4100000001</v>
      </c>
      <c r="F154" s="14">
        <v>11864249.25</v>
      </c>
      <c r="G154" s="14">
        <f>122500+720340+27653.3+48977.78+288136+264803.82+1072829.6+286700.05+43220+101283.97+999.98+241716.92+302389.73+264363.81+11492.14+262903.3+7469.9</f>
        <v>4067780.3</v>
      </c>
      <c r="H154" s="52">
        <f t="shared" si="5"/>
        <v>23721170.960000001</v>
      </c>
      <c r="I154" s="52">
        <f t="shared" si="6"/>
        <v>23721170.960000001</v>
      </c>
      <c r="J154" s="14"/>
      <c r="K154" s="14"/>
      <c r="L154" s="218" t="s">
        <v>1432</v>
      </c>
    </row>
    <row r="155" spans="1:12" ht="12.75" customHeight="1" x14ac:dyDescent="0.2">
      <c r="A155" s="18" t="s">
        <v>233</v>
      </c>
      <c r="B155" s="103">
        <v>43039</v>
      </c>
      <c r="C155" s="104">
        <v>43738</v>
      </c>
      <c r="D155" s="195">
        <v>40</v>
      </c>
      <c r="E155" s="14">
        <f>8752097.25+872320.58</f>
        <v>9624417.8300000001</v>
      </c>
      <c r="F155" s="14"/>
      <c r="G155" s="69">
        <f>183865.03+19876.27+220078.57+43.6+243318.14+112.81</f>
        <v>667294.42000000004</v>
      </c>
      <c r="H155" s="52">
        <f t="shared" si="5"/>
        <v>10291712.25</v>
      </c>
      <c r="I155" s="52">
        <f t="shared" si="6"/>
        <v>10291712.25</v>
      </c>
      <c r="J155" s="84"/>
      <c r="K155" s="14"/>
      <c r="L155" s="219"/>
    </row>
    <row r="156" spans="1:12" ht="33.75" customHeight="1" x14ac:dyDescent="0.2">
      <c r="A156" s="18" t="s">
        <v>234</v>
      </c>
      <c r="B156" s="103">
        <v>43039</v>
      </c>
      <c r="C156" s="104">
        <v>43738</v>
      </c>
      <c r="D156" s="195">
        <v>40</v>
      </c>
      <c r="E156" s="14">
        <f>5391651.3+588191.77</f>
        <v>5979843.0700000003</v>
      </c>
      <c r="F156" s="14"/>
      <c r="G156" s="69">
        <f>113145.72+11694.11+134720.55+149893.95</f>
        <v>409454.33</v>
      </c>
      <c r="H156" s="52">
        <f t="shared" si="5"/>
        <v>6389297.4000000004</v>
      </c>
      <c r="I156" s="52">
        <f t="shared" si="6"/>
        <v>6389297.4000000004</v>
      </c>
      <c r="J156" s="84"/>
      <c r="K156" s="14"/>
      <c r="L156" s="201"/>
    </row>
    <row r="157" spans="1:12" ht="21.75" customHeight="1" x14ac:dyDescent="0.2">
      <c r="A157" s="22" t="s">
        <v>235</v>
      </c>
      <c r="B157" s="103">
        <v>43039</v>
      </c>
      <c r="C157" s="104">
        <v>43738</v>
      </c>
      <c r="D157" s="195">
        <v>40</v>
      </c>
      <c r="E157" s="14">
        <f>3891105.89+1473325.78</f>
        <v>5364431.67</v>
      </c>
      <c r="F157" s="14"/>
      <c r="G157" s="14">
        <f>79125.37+5922.67+93589.94+114919.09</f>
        <v>293557.06999999995</v>
      </c>
      <c r="H157" s="52">
        <f t="shared" si="5"/>
        <v>5657988.7400000002</v>
      </c>
      <c r="I157" s="52">
        <f t="shared" si="6"/>
        <v>5657988.7400000002</v>
      </c>
      <c r="J157" s="14"/>
      <c r="K157" s="14"/>
      <c r="L157" s="201"/>
    </row>
    <row r="158" spans="1:12" ht="24" x14ac:dyDescent="0.2">
      <c r="A158" s="18" t="s">
        <v>73</v>
      </c>
      <c r="B158" s="103">
        <v>42674</v>
      </c>
      <c r="C158" s="104">
        <v>43800</v>
      </c>
      <c r="D158" s="195">
        <v>75</v>
      </c>
      <c r="E158" s="14">
        <f>11733575.24+826526.46</f>
        <v>12560101.699999999</v>
      </c>
      <c r="F158" s="14">
        <f>36110025.12+21322447.9+177494.69</f>
        <v>57609967.709999993</v>
      </c>
      <c r="G158" s="69">
        <f>185261.5+887000+887000+1029096.98+1028750+576035.37+6521.23-13042.46+1158323.03+20087.76</f>
        <v>5765033.4100000001</v>
      </c>
      <c r="H158" s="52">
        <f>F158+E158+G158</f>
        <v>75935102.819999993</v>
      </c>
      <c r="I158" s="52">
        <f>H158</f>
        <v>75935102.819999993</v>
      </c>
      <c r="J158" s="19"/>
      <c r="K158" s="14"/>
      <c r="L158" s="217" t="s">
        <v>1433</v>
      </c>
    </row>
    <row r="159" spans="1:12" ht="21.75" customHeight="1" x14ac:dyDescent="0.2">
      <c r="A159" s="22" t="s">
        <v>236</v>
      </c>
      <c r="B159" s="103">
        <v>43039</v>
      </c>
      <c r="C159" s="104">
        <v>43738</v>
      </c>
      <c r="D159" s="195">
        <v>40</v>
      </c>
      <c r="E159" s="14">
        <f>4087714.31+1467874.08</f>
        <v>5555588.3900000006</v>
      </c>
      <c r="F159" s="14"/>
      <c r="G159" s="14">
        <f>81944.93+7499.24+100966.17+119648.88</f>
        <v>310059.21999999997</v>
      </c>
      <c r="H159" s="52">
        <f t="shared" si="5"/>
        <v>5865647.6100000003</v>
      </c>
      <c r="I159" s="52">
        <f t="shared" si="6"/>
        <v>5865647.6100000003</v>
      </c>
      <c r="J159" s="14"/>
      <c r="K159" s="14"/>
      <c r="L159" s="201"/>
    </row>
    <row r="160" spans="1:12" x14ac:dyDescent="0.2">
      <c r="A160" s="22" t="s">
        <v>129</v>
      </c>
      <c r="B160" s="103">
        <v>42947</v>
      </c>
      <c r="C160" s="104">
        <v>43313</v>
      </c>
      <c r="D160" s="194">
        <v>95</v>
      </c>
      <c r="E160" s="14">
        <v>6300387.5999999996</v>
      </c>
      <c r="F160" s="14">
        <f>379885.53+12868404.78</f>
        <v>13248290.309999999</v>
      </c>
      <c r="G160" s="69">
        <f>92930.72+167281.64+90702.13</f>
        <v>350914.49</v>
      </c>
      <c r="H160" s="52">
        <f>F160+E160+G160</f>
        <v>19899592.399999995</v>
      </c>
      <c r="I160" s="52">
        <f>H160</f>
        <v>19899592.399999995</v>
      </c>
      <c r="J160" s="19"/>
      <c r="K160" s="14"/>
      <c r="L160" s="201" t="s">
        <v>1434</v>
      </c>
    </row>
    <row r="161" spans="1:40" ht="21.75" customHeight="1" x14ac:dyDescent="0.2">
      <c r="A161" s="22" t="s">
        <v>237</v>
      </c>
      <c r="B161" s="103">
        <v>43039</v>
      </c>
      <c r="C161" s="104">
        <v>43738</v>
      </c>
      <c r="D161" s="195">
        <v>40</v>
      </c>
      <c r="E161" s="14">
        <f>4777548.47+1788138.79</f>
        <v>6565687.2599999998</v>
      </c>
      <c r="F161" s="14"/>
      <c r="G161" s="14">
        <f>9737.68+96843.88+118362.66+140384.2</f>
        <v>365328.42000000004</v>
      </c>
      <c r="H161" s="52">
        <f t="shared" si="5"/>
        <v>6931015.6799999997</v>
      </c>
      <c r="I161" s="52">
        <f t="shared" si="6"/>
        <v>6931015.6799999997</v>
      </c>
      <c r="J161" s="14"/>
      <c r="K161" s="14"/>
      <c r="L161" s="201"/>
    </row>
    <row r="162" spans="1:40" ht="21.75" customHeight="1" x14ac:dyDescent="0.2">
      <c r="A162" s="22" t="s">
        <v>238</v>
      </c>
      <c r="B162" s="103">
        <v>43039</v>
      </c>
      <c r="C162" s="104">
        <v>44196</v>
      </c>
      <c r="D162" s="195">
        <v>40</v>
      </c>
      <c r="E162" s="14">
        <f>4951790.67+385811.66</f>
        <v>5337602.33</v>
      </c>
      <c r="F162" s="14"/>
      <c r="G162" s="14">
        <f>98752.93+11167.41+124002.03+137665.32</f>
        <v>371587.69</v>
      </c>
      <c r="H162" s="52">
        <f t="shared" si="5"/>
        <v>5709190.0200000005</v>
      </c>
      <c r="I162" s="52">
        <f t="shared" si="6"/>
        <v>5709190.0200000005</v>
      </c>
      <c r="J162" s="14"/>
      <c r="K162" s="14"/>
      <c r="L162" s="201"/>
    </row>
    <row r="163" spans="1:40" ht="12.75" customHeight="1" x14ac:dyDescent="0.2">
      <c r="A163" s="22" t="s">
        <v>239</v>
      </c>
      <c r="B163" s="103">
        <v>43039</v>
      </c>
      <c r="C163" s="104">
        <v>43738</v>
      </c>
      <c r="D163" s="195">
        <v>40</v>
      </c>
      <c r="E163" s="14">
        <f>3684594.83+1263274.1</f>
        <v>4947868.93</v>
      </c>
      <c r="F163" s="14"/>
      <c r="G163" s="14">
        <f>72981.07+9433.4+93652.26+109618.26+50.42</f>
        <v>285735.40999999997</v>
      </c>
      <c r="H163" s="52">
        <f t="shared" si="5"/>
        <v>5233604.34</v>
      </c>
      <c r="I163" s="52">
        <f t="shared" si="6"/>
        <v>5233604.34</v>
      </c>
      <c r="J163" s="14"/>
      <c r="K163" s="14"/>
      <c r="L163" s="201"/>
    </row>
    <row r="164" spans="1:40" ht="12.75" x14ac:dyDescent="0.2">
      <c r="A164" s="18"/>
      <c r="B164" s="103"/>
      <c r="C164" s="103"/>
      <c r="D164" s="194"/>
      <c r="E164" s="68">
        <f>SUM(E144:E163)</f>
        <v>195156615.27999997</v>
      </c>
      <c r="F164" s="68">
        <f>SUM(F144:F163)</f>
        <v>560916396.4799999</v>
      </c>
      <c r="G164" s="68">
        <f>SUM(G144:G163)</f>
        <v>114200329.11999999</v>
      </c>
      <c r="H164" s="58">
        <f>SUM(H144:H163)</f>
        <v>870273340.87999988</v>
      </c>
      <c r="I164" s="58">
        <f t="shared" ref="I164" si="7">H164</f>
        <v>870273340.87999988</v>
      </c>
      <c r="J164" s="14"/>
      <c r="K164" s="150"/>
      <c r="L164" s="201"/>
    </row>
    <row r="165" spans="1:40" ht="24.75" customHeight="1" x14ac:dyDescent="0.2">
      <c r="A165" s="20" t="s">
        <v>34</v>
      </c>
      <c r="B165" s="103"/>
      <c r="C165" s="104"/>
      <c r="D165" s="195"/>
      <c r="E165" s="14"/>
      <c r="F165" s="14"/>
      <c r="G165" s="14"/>
      <c r="H165" s="52"/>
      <c r="I165" s="52"/>
      <c r="J165" s="14"/>
      <c r="K165" s="14"/>
      <c r="L165" s="201"/>
    </row>
    <row r="166" spans="1:40" ht="25.5" customHeight="1" x14ac:dyDescent="0.2">
      <c r="A166" s="18" t="s">
        <v>25</v>
      </c>
      <c r="B166" s="103">
        <v>41631</v>
      </c>
      <c r="C166" s="104">
        <v>43465</v>
      </c>
      <c r="D166" s="195">
        <v>50</v>
      </c>
      <c r="E166" s="14">
        <v>1016949.15</v>
      </c>
      <c r="F166" s="14"/>
      <c r="G166" s="14">
        <v>66915.25</v>
      </c>
      <c r="H166" s="52">
        <f t="shared" ref="H166:H185" si="8">F166+E166+G166</f>
        <v>1083864.3999999999</v>
      </c>
      <c r="I166" s="52">
        <f t="shared" ref="I166:I248" si="9">H166</f>
        <v>1083864.3999999999</v>
      </c>
      <c r="J166" s="19"/>
      <c r="K166" s="14"/>
      <c r="L166" s="201"/>
    </row>
    <row r="167" spans="1:40" s="7" customFormat="1" ht="15" customHeight="1" x14ac:dyDescent="0.2">
      <c r="A167" s="22" t="s">
        <v>36</v>
      </c>
      <c r="B167" s="104">
        <v>35034</v>
      </c>
      <c r="C167" s="103">
        <v>43465</v>
      </c>
      <c r="D167" s="195">
        <v>85</v>
      </c>
      <c r="E167" s="70"/>
      <c r="F167" s="70">
        <v>950879.5</v>
      </c>
      <c r="G167" s="70">
        <v>4314199.24</v>
      </c>
      <c r="H167" s="52">
        <f t="shared" si="8"/>
        <v>5265078.74</v>
      </c>
      <c r="I167" s="52">
        <f t="shared" si="9"/>
        <v>5265078.74</v>
      </c>
      <c r="J167" s="19"/>
      <c r="K167" s="14"/>
      <c r="L167" s="21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6"/>
    </row>
    <row r="168" spans="1:40" ht="15" customHeight="1" x14ac:dyDescent="0.2">
      <c r="A168" s="22" t="s">
        <v>240</v>
      </c>
      <c r="B168" s="104">
        <v>43039</v>
      </c>
      <c r="C168" s="104">
        <v>43830</v>
      </c>
      <c r="D168" s="195">
        <v>30</v>
      </c>
      <c r="E168" s="70">
        <f>1961349.58+397295.9</f>
        <v>2358645.48</v>
      </c>
      <c r="F168" s="70"/>
      <c r="G168" s="70">
        <f>34790.02+5406.77</f>
        <v>40196.789999999994</v>
      </c>
      <c r="H168" s="52">
        <f t="shared" si="8"/>
        <v>2398842.27</v>
      </c>
      <c r="I168" s="52">
        <f t="shared" si="9"/>
        <v>2398842.27</v>
      </c>
      <c r="J168" s="19"/>
      <c r="K168" s="14"/>
      <c r="L168" s="201"/>
    </row>
    <row r="169" spans="1:40" ht="24" x14ac:dyDescent="0.2">
      <c r="A169" s="22" t="s">
        <v>75</v>
      </c>
      <c r="B169" s="103">
        <v>42674</v>
      </c>
      <c r="C169" s="104">
        <v>43312</v>
      </c>
      <c r="D169" s="195">
        <v>95</v>
      </c>
      <c r="E169" s="14">
        <f>302749.7+120979.12</f>
        <v>423728.82</v>
      </c>
      <c r="F169" s="14">
        <f>7745.19+2134560.69</f>
        <v>2142305.88</v>
      </c>
      <c r="G169" s="14">
        <f>36631+7330.62+14652.4+21978.6+55000</f>
        <v>135592.62</v>
      </c>
      <c r="H169" s="52">
        <f t="shared" si="8"/>
        <v>2701627.32</v>
      </c>
      <c r="I169" s="52">
        <f>H169</f>
        <v>2701627.32</v>
      </c>
      <c r="J169" s="19"/>
      <c r="K169" s="14"/>
      <c r="L169" s="219"/>
    </row>
    <row r="170" spans="1:40" ht="24" x14ac:dyDescent="0.2">
      <c r="A170" s="22" t="s">
        <v>77</v>
      </c>
      <c r="B170" s="103">
        <v>42674</v>
      </c>
      <c r="C170" s="104">
        <v>43463</v>
      </c>
      <c r="D170" s="195">
        <v>50</v>
      </c>
      <c r="E170" s="14">
        <f>527654.09+267345.91</f>
        <v>795000</v>
      </c>
      <c r="F170" s="14">
        <f>45528.33+2016001.28</f>
        <v>2061529.61</v>
      </c>
      <c r="G170" s="14">
        <f>13901.48+73736.57+73736.57+32991.44+910.13+1166.96+1179.93</f>
        <v>197623.08</v>
      </c>
      <c r="H170" s="52">
        <f t="shared" si="8"/>
        <v>3054152.6900000004</v>
      </c>
      <c r="I170" s="52">
        <f t="shared" ref="I170:I177" si="10">H170</f>
        <v>3054152.6900000004</v>
      </c>
      <c r="J170" s="19"/>
      <c r="K170" s="14"/>
      <c r="L170" s="201"/>
    </row>
    <row r="171" spans="1:40" ht="24" x14ac:dyDescent="0.2">
      <c r="A171" s="22" t="s">
        <v>78</v>
      </c>
      <c r="B171" s="103">
        <v>42674</v>
      </c>
      <c r="C171" s="104">
        <v>43463</v>
      </c>
      <c r="D171" s="195">
        <v>50</v>
      </c>
      <c r="E171" s="14">
        <f>532231.68+230480.19</f>
        <v>762711.87000000011</v>
      </c>
      <c r="F171" s="14">
        <v>22321.93</v>
      </c>
      <c r="G171" s="69">
        <f>19672.97+73672.55+73672.54+6959.85+244.01+575.91+411.71</f>
        <v>175209.54</v>
      </c>
      <c r="H171" s="52">
        <f t="shared" si="8"/>
        <v>960243.3400000002</v>
      </c>
      <c r="I171" s="52">
        <f t="shared" si="10"/>
        <v>960243.3400000002</v>
      </c>
      <c r="J171" s="19"/>
      <c r="K171" s="14"/>
      <c r="L171" s="201"/>
    </row>
    <row r="172" spans="1:40" ht="24" x14ac:dyDescent="0.2">
      <c r="A172" s="22" t="s">
        <v>79</v>
      </c>
      <c r="B172" s="103">
        <v>42674</v>
      </c>
      <c r="C172" s="104">
        <v>43463</v>
      </c>
      <c r="D172" s="195">
        <v>50</v>
      </c>
      <c r="E172" s="14">
        <f>527874.76+267125.24</f>
        <v>795000</v>
      </c>
      <c r="F172" s="14">
        <f>125405.27+1586833.18</f>
        <v>1712238.45</v>
      </c>
      <c r="G172" s="14">
        <f>11726.25+85839.59+85839.58+28190.91+888.03+1138.63+1151.28</f>
        <v>214774.27</v>
      </c>
      <c r="H172" s="52">
        <f t="shared" si="8"/>
        <v>2722012.72</v>
      </c>
      <c r="I172" s="52">
        <f t="shared" si="10"/>
        <v>2722012.72</v>
      </c>
      <c r="J172" s="19"/>
      <c r="K172" s="14"/>
      <c r="L172" s="201"/>
    </row>
    <row r="173" spans="1:40" ht="24" x14ac:dyDescent="0.2">
      <c r="A173" s="22" t="s">
        <v>83</v>
      </c>
      <c r="B173" s="103">
        <v>42674</v>
      </c>
      <c r="C173" s="104">
        <v>43463</v>
      </c>
      <c r="D173" s="195">
        <v>50</v>
      </c>
      <c r="E173" s="14">
        <f>422918.3+89488.48</f>
        <v>512406.77999999997</v>
      </c>
      <c r="F173" s="14">
        <v>21398.27</v>
      </c>
      <c r="G173" s="14">
        <f>9727.09+73528.68+73528.67+6463.13+195.65+250.86+253.65</f>
        <v>163947.72999999998</v>
      </c>
      <c r="H173" s="52">
        <f t="shared" si="8"/>
        <v>697752.77999999991</v>
      </c>
      <c r="I173" s="52">
        <f t="shared" si="10"/>
        <v>697752.77999999991</v>
      </c>
      <c r="J173" s="19"/>
      <c r="K173" s="14"/>
      <c r="L173" s="201"/>
    </row>
    <row r="174" spans="1:40" ht="24" x14ac:dyDescent="0.2">
      <c r="A174" s="22" t="s">
        <v>76</v>
      </c>
      <c r="B174" s="103">
        <v>42674</v>
      </c>
      <c r="C174" s="104">
        <v>43463</v>
      </c>
      <c r="D174" s="195">
        <v>50</v>
      </c>
      <c r="E174" s="14">
        <f>418074.23+94332.55</f>
        <v>512406.77999999997</v>
      </c>
      <c r="F174" s="14">
        <v>13136.97</v>
      </c>
      <c r="G174" s="69">
        <f>9726.81+73518.84+73518.83+13739.61+89.83+115.18+116.46</f>
        <v>170825.55999999994</v>
      </c>
      <c r="H174" s="52">
        <f t="shared" si="8"/>
        <v>696369.30999999994</v>
      </c>
      <c r="I174" s="52">
        <f t="shared" si="10"/>
        <v>696369.30999999994</v>
      </c>
      <c r="J174" s="19"/>
      <c r="K174" s="14"/>
      <c r="L174" s="201"/>
    </row>
    <row r="175" spans="1:40" ht="27.75" customHeight="1" x14ac:dyDescent="0.2">
      <c r="A175" s="22" t="s">
        <v>80</v>
      </c>
      <c r="B175" s="103">
        <v>42674</v>
      </c>
      <c r="C175" s="104">
        <v>43463</v>
      </c>
      <c r="D175" s="195">
        <v>50</v>
      </c>
      <c r="E175" s="14">
        <f>483463.79+194493.84</f>
        <v>677957.63</v>
      </c>
      <c r="F175" s="14">
        <v>75895.13</v>
      </c>
      <c r="G175" s="69">
        <f>12170.95+73595.73+73595.72+32767.25+421.2+540.06+546.06</f>
        <v>193636.97</v>
      </c>
      <c r="H175" s="52">
        <f t="shared" si="8"/>
        <v>947489.73</v>
      </c>
      <c r="I175" s="52">
        <f t="shared" si="10"/>
        <v>947489.73</v>
      </c>
      <c r="J175" s="19"/>
      <c r="K175" s="14"/>
      <c r="L175" s="201"/>
    </row>
    <row r="176" spans="1:40" ht="24" x14ac:dyDescent="0.2">
      <c r="A176" s="22" t="s">
        <v>81</v>
      </c>
      <c r="B176" s="103">
        <v>42674</v>
      </c>
      <c r="C176" s="104">
        <v>43463</v>
      </c>
      <c r="D176" s="195">
        <v>50</v>
      </c>
      <c r="E176" s="14">
        <f>420276.28+92130.5</f>
        <v>512406.78</v>
      </c>
      <c r="F176" s="14">
        <v>11259.22</v>
      </c>
      <c r="G176" s="14">
        <f>9728.1+73562.68+73562.68+2344.36+65.52+84.01+84.94</f>
        <v>159432.28999999998</v>
      </c>
      <c r="H176" s="52">
        <f t="shared" si="8"/>
        <v>683098.29</v>
      </c>
      <c r="I176" s="52">
        <f t="shared" si="10"/>
        <v>683098.29</v>
      </c>
      <c r="J176" s="19"/>
      <c r="K176" s="14"/>
      <c r="L176" s="201"/>
    </row>
    <row r="177" spans="1:12" ht="24" x14ac:dyDescent="0.2">
      <c r="A177" s="22" t="s">
        <v>82</v>
      </c>
      <c r="B177" s="103">
        <v>42674</v>
      </c>
      <c r="C177" s="104">
        <v>43463</v>
      </c>
      <c r="D177" s="195">
        <v>50</v>
      </c>
      <c r="E177" s="14">
        <f>482715.08+195242.54</f>
        <v>677957.62</v>
      </c>
      <c r="F177" s="14">
        <v>129839.85</v>
      </c>
      <c r="G177" s="69">
        <f>12168.31+73506.52+73506.52+175138.37-155955.03+340.34+436.38+441.23</f>
        <v>179582.63999999998</v>
      </c>
      <c r="H177" s="52">
        <f t="shared" si="8"/>
        <v>987380.11</v>
      </c>
      <c r="I177" s="52">
        <f t="shared" si="10"/>
        <v>987380.11</v>
      </c>
      <c r="J177" s="19"/>
      <c r="K177" s="14"/>
      <c r="L177" s="201"/>
    </row>
    <row r="178" spans="1:12" ht="28.5" customHeight="1" x14ac:dyDescent="0.2">
      <c r="A178" s="18" t="s">
        <v>60</v>
      </c>
      <c r="B178" s="103">
        <v>42674</v>
      </c>
      <c r="C178" s="104">
        <v>43800</v>
      </c>
      <c r="D178" s="195">
        <v>50</v>
      </c>
      <c r="E178" s="14">
        <f>4492250.14+84021.05</f>
        <v>4576271.1899999995</v>
      </c>
      <c r="F178" s="14">
        <v>160684.29</v>
      </c>
      <c r="G178" s="14">
        <f>82245.24+499838.42+499838.41+1110012.92+1584.59-252.86+1488.86</f>
        <v>2194755.58</v>
      </c>
      <c r="H178" s="52">
        <f t="shared" si="8"/>
        <v>6931711.0599999996</v>
      </c>
      <c r="I178" s="52">
        <f t="shared" si="9"/>
        <v>6931711.0599999996</v>
      </c>
      <c r="J178" s="19"/>
      <c r="K178" s="14"/>
      <c r="L178" s="201"/>
    </row>
    <row r="179" spans="1:12" ht="34.5" customHeight="1" x14ac:dyDescent="0.2">
      <c r="A179" s="18" t="s">
        <v>61</v>
      </c>
      <c r="B179" s="103">
        <v>42674</v>
      </c>
      <c r="C179" s="104">
        <v>43830</v>
      </c>
      <c r="D179" s="195">
        <v>40</v>
      </c>
      <c r="E179" s="14">
        <f>1828699.62+460300.38</f>
        <v>2289000</v>
      </c>
      <c r="F179" s="14"/>
      <c r="G179" s="14">
        <f>41142.03+500290.27</f>
        <v>541432.30000000005</v>
      </c>
      <c r="H179" s="52">
        <f t="shared" si="8"/>
        <v>2830432.3</v>
      </c>
      <c r="I179" s="52">
        <f>H179</f>
        <v>2830432.3</v>
      </c>
      <c r="J179" s="19"/>
      <c r="K179" s="14"/>
      <c r="L179" s="201"/>
    </row>
    <row r="180" spans="1:12" ht="12" customHeight="1" x14ac:dyDescent="0.2">
      <c r="A180" s="18" t="s">
        <v>241</v>
      </c>
      <c r="B180" s="103">
        <v>43039</v>
      </c>
      <c r="C180" s="104">
        <v>43465</v>
      </c>
      <c r="D180" s="195">
        <v>50</v>
      </c>
      <c r="E180" s="14">
        <f>7941123.94+717980.71+1810179.43</f>
        <v>10469284.08</v>
      </c>
      <c r="F180" s="14">
        <f>679774.12+1050861.48-676289.52</f>
        <v>1054346.08</v>
      </c>
      <c r="G180" s="14">
        <f>154421.95+3095006.42+57207.88</f>
        <v>3306636.25</v>
      </c>
      <c r="H180" s="52">
        <f t="shared" si="8"/>
        <v>14830266.41</v>
      </c>
      <c r="I180" s="52">
        <f>H180</f>
        <v>14830266.41</v>
      </c>
      <c r="J180" s="19"/>
      <c r="K180" s="14"/>
      <c r="L180" s="201"/>
    </row>
    <row r="181" spans="1:12" ht="24" customHeight="1" x14ac:dyDescent="0.2">
      <c r="A181" s="18" t="s">
        <v>62</v>
      </c>
      <c r="B181" s="103">
        <v>42674</v>
      </c>
      <c r="C181" s="104">
        <v>43435</v>
      </c>
      <c r="D181" s="195">
        <v>10</v>
      </c>
      <c r="E181" s="14">
        <f>418074.23+94332.55</f>
        <v>512406.77999999997</v>
      </c>
      <c r="F181" s="14"/>
      <c r="G181" s="14">
        <f>9735.68+73819.47+73819.47</f>
        <v>157374.62</v>
      </c>
      <c r="H181" s="52">
        <f t="shared" si="8"/>
        <v>669781.39999999991</v>
      </c>
      <c r="I181" s="52">
        <f t="shared" ref="I181" si="11">H181</f>
        <v>669781.39999999991</v>
      </c>
      <c r="J181" s="19"/>
      <c r="K181" s="14"/>
      <c r="L181" s="201"/>
    </row>
    <row r="182" spans="1:12" ht="24" x14ac:dyDescent="0.2">
      <c r="A182" s="22" t="s">
        <v>87</v>
      </c>
      <c r="B182" s="103">
        <v>42674</v>
      </c>
      <c r="C182" s="104">
        <v>43435</v>
      </c>
      <c r="D182" s="195">
        <v>50</v>
      </c>
      <c r="E182" s="14">
        <f>473906.86+204050.76</f>
        <v>677957.62</v>
      </c>
      <c r="F182" s="14">
        <v>7453.3</v>
      </c>
      <c r="G182" s="14">
        <f>12173.77+73691.48+73691.47+412.79+633.4+640.43</f>
        <v>161243.34</v>
      </c>
      <c r="H182" s="52">
        <f t="shared" si="8"/>
        <v>846654.26</v>
      </c>
      <c r="I182" s="52">
        <f t="shared" ref="I182:I187" si="12">H182</f>
        <v>846654.26</v>
      </c>
      <c r="J182" s="19"/>
      <c r="K182" s="14"/>
      <c r="L182" s="201"/>
    </row>
    <row r="183" spans="1:12" ht="24" x14ac:dyDescent="0.2">
      <c r="A183" s="22" t="s">
        <v>85</v>
      </c>
      <c r="B183" s="103">
        <v>42674</v>
      </c>
      <c r="C183" s="104">
        <v>43435</v>
      </c>
      <c r="D183" s="195">
        <v>50</v>
      </c>
      <c r="E183" s="14">
        <f>473906.86+204050.76</f>
        <v>677957.62</v>
      </c>
      <c r="F183" s="14">
        <v>10344.1</v>
      </c>
      <c r="G183" s="69">
        <f>12168.31+73506.52+73506.52+542.92+833.08+842.33</f>
        <v>161399.67999999999</v>
      </c>
      <c r="H183" s="52">
        <f t="shared" si="8"/>
        <v>849701.39999999991</v>
      </c>
      <c r="I183" s="52">
        <f t="shared" si="12"/>
        <v>849701.39999999991</v>
      </c>
      <c r="J183" s="19"/>
      <c r="K183" s="14"/>
      <c r="L183" s="201"/>
    </row>
    <row r="184" spans="1:12" ht="24" x14ac:dyDescent="0.2">
      <c r="A184" s="22" t="s">
        <v>74</v>
      </c>
      <c r="B184" s="103">
        <v>42674</v>
      </c>
      <c r="C184" s="104">
        <v>43435</v>
      </c>
      <c r="D184" s="195">
        <v>50</v>
      </c>
      <c r="E184" s="14">
        <f>473906.86+204050.76</f>
        <v>677957.62</v>
      </c>
      <c r="F184" s="14">
        <v>10811.3</v>
      </c>
      <c r="G184" s="69">
        <f>12173.77+73691.48+73691.47+479.58+735.88+744.07</f>
        <v>161516.25</v>
      </c>
      <c r="H184" s="52">
        <f t="shared" si="8"/>
        <v>850285.17</v>
      </c>
      <c r="I184" s="52">
        <f t="shared" si="12"/>
        <v>850285.17</v>
      </c>
      <c r="J184" s="19"/>
      <c r="K184" s="14"/>
      <c r="L184" s="201"/>
    </row>
    <row r="185" spans="1:12" ht="24" x14ac:dyDescent="0.2">
      <c r="A185" s="22" t="s">
        <v>88</v>
      </c>
      <c r="B185" s="103">
        <v>42674</v>
      </c>
      <c r="C185" s="104">
        <v>43435</v>
      </c>
      <c r="D185" s="195">
        <v>50</v>
      </c>
      <c r="E185" s="14">
        <f>483595.85+194361.78</f>
        <v>677957.63</v>
      </c>
      <c r="F185" s="14">
        <v>192567.69</v>
      </c>
      <c r="G185" s="69">
        <f>12184.1+74041.76+74041.75+16138.39+407.68+522.72+528.53</f>
        <v>177864.93</v>
      </c>
      <c r="H185" s="52">
        <f t="shared" si="8"/>
        <v>1048390.25</v>
      </c>
      <c r="I185" s="52">
        <f t="shared" si="12"/>
        <v>1048390.25</v>
      </c>
      <c r="J185" s="19"/>
      <c r="K185" s="14"/>
      <c r="L185" s="201"/>
    </row>
    <row r="186" spans="1:12" ht="24" x14ac:dyDescent="0.2">
      <c r="A186" s="22" t="s">
        <v>86</v>
      </c>
      <c r="B186" s="103">
        <v>42674</v>
      </c>
      <c r="C186" s="104">
        <v>43435</v>
      </c>
      <c r="D186" s="195">
        <v>80</v>
      </c>
      <c r="E186" s="14">
        <f>676340.55+355057.75</f>
        <v>1031398.3</v>
      </c>
      <c r="F186" s="14">
        <f>75322.42+6950963.28</f>
        <v>7026285.7000000002</v>
      </c>
      <c r="G186" s="14">
        <f>122651.69+18831.36+122651.69</f>
        <v>264134.74</v>
      </c>
      <c r="H186" s="52">
        <f t="shared" ref="H186:H203" si="13">F186+E186+G186</f>
        <v>8321818.7400000002</v>
      </c>
      <c r="I186" s="52">
        <f t="shared" si="12"/>
        <v>8321818.7400000002</v>
      </c>
      <c r="J186" s="19"/>
      <c r="K186" s="14"/>
      <c r="L186" s="201"/>
    </row>
    <row r="187" spans="1:12" ht="24" x14ac:dyDescent="0.2">
      <c r="A187" s="22" t="s">
        <v>89</v>
      </c>
      <c r="B187" s="103">
        <v>42674</v>
      </c>
      <c r="C187" s="104">
        <v>43435</v>
      </c>
      <c r="D187" s="195">
        <v>50</v>
      </c>
      <c r="E187" s="14">
        <f>545444.01+217267.86</f>
        <v>762711.87</v>
      </c>
      <c r="F187" s="14">
        <f>80328.39+960046.89</f>
        <v>1040375.28</v>
      </c>
      <c r="G187" s="14">
        <f>13420.12+73563.41+73563.4+17044.39+581.88+746.08+754.37</f>
        <v>179673.65</v>
      </c>
      <c r="H187" s="52">
        <f t="shared" si="13"/>
        <v>1982760.7999999998</v>
      </c>
      <c r="I187" s="52">
        <f t="shared" si="12"/>
        <v>1982760.7999999998</v>
      </c>
      <c r="J187" s="19"/>
      <c r="K187" s="14"/>
      <c r="L187" s="201"/>
    </row>
    <row r="188" spans="1:12" ht="24" x14ac:dyDescent="0.2">
      <c r="A188" s="22" t="s">
        <v>84</v>
      </c>
      <c r="B188" s="103">
        <v>42674</v>
      </c>
      <c r="C188" s="104">
        <v>43435</v>
      </c>
      <c r="D188" s="195">
        <v>50</v>
      </c>
      <c r="E188" s="14">
        <f>500801.83+310994.78</f>
        <v>811796.6100000001</v>
      </c>
      <c r="F188" s="14">
        <f>8530.91+4391670.46</f>
        <v>4400201.37</v>
      </c>
      <c r="G188" s="14">
        <f>14886.42+98726.13+98726.12+1729.33+64750+2653.52+2683.01</f>
        <v>284154.53000000003</v>
      </c>
      <c r="H188" s="52">
        <f t="shared" si="13"/>
        <v>5496152.5100000007</v>
      </c>
      <c r="I188" s="52">
        <f t="shared" ref="I188:I192" si="14">H188</f>
        <v>5496152.5100000007</v>
      </c>
      <c r="J188" s="19"/>
      <c r="K188" s="14"/>
      <c r="L188" s="201"/>
    </row>
    <row r="189" spans="1:12" ht="24" x14ac:dyDescent="0.2">
      <c r="A189" s="22" t="s">
        <v>242</v>
      </c>
      <c r="B189" s="103">
        <v>43039</v>
      </c>
      <c r="C189" s="104">
        <v>43800</v>
      </c>
      <c r="D189" s="195">
        <v>40</v>
      </c>
      <c r="E189" s="14">
        <f>1335706.66+284664.56+340979.02</f>
        <v>1961350.24</v>
      </c>
      <c r="F189" s="14"/>
      <c r="G189" s="14">
        <v>28929.91</v>
      </c>
      <c r="H189" s="52">
        <f t="shared" si="13"/>
        <v>1990280.15</v>
      </c>
      <c r="I189" s="52">
        <f t="shared" si="14"/>
        <v>1990280.15</v>
      </c>
      <c r="J189" s="19"/>
      <c r="K189" s="14"/>
      <c r="L189" s="201"/>
    </row>
    <row r="190" spans="1:12" ht="36" x14ac:dyDescent="0.2">
      <c r="A190" s="22" t="s">
        <v>243</v>
      </c>
      <c r="B190" s="103">
        <v>43039</v>
      </c>
      <c r="C190" s="104">
        <v>43800</v>
      </c>
      <c r="D190" s="195">
        <v>40</v>
      </c>
      <c r="E190" s="14">
        <f>1737186.98+284664.56+206765.78</f>
        <v>2228617.3199999998</v>
      </c>
      <c r="F190" s="14"/>
      <c r="G190" s="14">
        <v>32872.129999999997</v>
      </c>
      <c r="H190" s="52">
        <f t="shared" si="13"/>
        <v>2261489.4499999997</v>
      </c>
      <c r="I190" s="52">
        <f t="shared" si="14"/>
        <v>2261489.4499999997</v>
      </c>
      <c r="J190" s="19"/>
      <c r="K190" s="14"/>
      <c r="L190" s="201"/>
    </row>
    <row r="191" spans="1:12" x14ac:dyDescent="0.2">
      <c r="A191" s="22" t="s">
        <v>244</v>
      </c>
      <c r="B191" s="103">
        <v>43039</v>
      </c>
      <c r="C191" s="104">
        <v>43800</v>
      </c>
      <c r="D191" s="195">
        <v>40</v>
      </c>
      <c r="E191" s="14">
        <f>3709622.22+103039.18</f>
        <v>3812661.4000000004</v>
      </c>
      <c r="F191" s="14"/>
      <c r="G191" s="14">
        <v>68616.27</v>
      </c>
      <c r="H191" s="52">
        <f t="shared" si="13"/>
        <v>3881277.6700000004</v>
      </c>
      <c r="I191" s="52">
        <f t="shared" si="14"/>
        <v>3881277.6700000004</v>
      </c>
      <c r="J191" s="19"/>
      <c r="K191" s="14"/>
      <c r="L191" s="201"/>
    </row>
    <row r="192" spans="1:12" ht="36" x14ac:dyDescent="0.2">
      <c r="A192" s="22" t="s">
        <v>245</v>
      </c>
      <c r="B192" s="103">
        <v>43039</v>
      </c>
      <c r="C192" s="104">
        <v>43435</v>
      </c>
      <c r="D192" s="195">
        <v>30</v>
      </c>
      <c r="E192" s="14"/>
      <c r="F192" s="14"/>
      <c r="G192" s="14">
        <v>28972.59</v>
      </c>
      <c r="H192" s="52">
        <f t="shared" si="13"/>
        <v>28972.59</v>
      </c>
      <c r="I192" s="52">
        <f t="shared" si="14"/>
        <v>28972.59</v>
      </c>
      <c r="J192" s="19"/>
      <c r="K192" s="14"/>
      <c r="L192" s="201"/>
    </row>
    <row r="193" spans="1:12" x14ac:dyDescent="0.2">
      <c r="A193" s="22" t="s">
        <v>101</v>
      </c>
      <c r="B193" s="103">
        <v>42674</v>
      </c>
      <c r="C193" s="104">
        <v>43435</v>
      </c>
      <c r="D193" s="195">
        <v>50</v>
      </c>
      <c r="E193" s="14">
        <v>508474.58</v>
      </c>
      <c r="F193" s="14">
        <v>241</v>
      </c>
      <c r="G193" s="14">
        <f>9670.37+73571.95+73571.94+32809.74</f>
        <v>189624</v>
      </c>
      <c r="H193" s="52">
        <f t="shared" si="13"/>
        <v>698339.58000000007</v>
      </c>
      <c r="I193" s="52">
        <f t="shared" ref="I193:I203" si="15">H193</f>
        <v>698339.58000000007</v>
      </c>
      <c r="J193" s="19"/>
      <c r="K193" s="14"/>
      <c r="L193" s="201"/>
    </row>
    <row r="194" spans="1:12" x14ac:dyDescent="0.2">
      <c r="A194" s="22" t="s">
        <v>102</v>
      </c>
      <c r="B194" s="103">
        <v>42674</v>
      </c>
      <c r="C194" s="104">
        <v>43435</v>
      </c>
      <c r="D194" s="195">
        <v>50</v>
      </c>
      <c r="E194" s="14">
        <v>508474.58</v>
      </c>
      <c r="F194" s="14">
        <v>299</v>
      </c>
      <c r="G194" s="69">
        <f>9670.37+73571.95+73571.94+87727.76</f>
        <v>244542.02000000002</v>
      </c>
      <c r="H194" s="52">
        <f t="shared" si="13"/>
        <v>753315.60000000009</v>
      </c>
      <c r="I194" s="52">
        <f t="shared" si="15"/>
        <v>753315.60000000009</v>
      </c>
      <c r="J194" s="19"/>
      <c r="K194" s="14"/>
      <c r="L194" s="201"/>
    </row>
    <row r="195" spans="1:12" ht="23.25" customHeight="1" x14ac:dyDescent="0.2">
      <c r="A195" s="22" t="s">
        <v>103</v>
      </c>
      <c r="B195" s="103">
        <v>42674</v>
      </c>
      <c r="C195" s="104">
        <v>43435</v>
      </c>
      <c r="D195" s="195">
        <v>50</v>
      </c>
      <c r="E195" s="14">
        <v>508474.58</v>
      </c>
      <c r="F195" s="14">
        <v>723</v>
      </c>
      <c r="G195" s="14">
        <f>9670.37+73571.95+73571.94+54352.92</f>
        <v>211167.18</v>
      </c>
      <c r="H195" s="52">
        <f t="shared" si="13"/>
        <v>720364.76</v>
      </c>
      <c r="I195" s="52">
        <f t="shared" si="15"/>
        <v>720364.76</v>
      </c>
      <c r="J195" s="19"/>
      <c r="K195" s="14"/>
      <c r="L195" s="201"/>
    </row>
    <row r="196" spans="1:12" x14ac:dyDescent="0.2">
      <c r="A196" s="22" t="s">
        <v>105</v>
      </c>
      <c r="B196" s="103">
        <v>42674</v>
      </c>
      <c r="C196" s="104">
        <v>43435</v>
      </c>
      <c r="D196" s="195">
        <v>50</v>
      </c>
      <c r="E196" s="14">
        <v>423703.39</v>
      </c>
      <c r="F196" s="14"/>
      <c r="G196" s="14">
        <f>6249.63+28364.08</f>
        <v>34613.71</v>
      </c>
      <c r="H196" s="52">
        <f t="shared" si="13"/>
        <v>458317.10000000003</v>
      </c>
      <c r="I196" s="52">
        <f t="shared" si="15"/>
        <v>458317.10000000003</v>
      </c>
      <c r="J196" s="19"/>
      <c r="K196" s="14"/>
      <c r="L196" s="201"/>
    </row>
    <row r="197" spans="1:12" x14ac:dyDescent="0.2">
      <c r="A197" s="22" t="s">
        <v>104</v>
      </c>
      <c r="B197" s="103">
        <v>42674</v>
      </c>
      <c r="C197" s="104">
        <v>43435</v>
      </c>
      <c r="D197" s="195">
        <v>50</v>
      </c>
      <c r="E197" s="14">
        <v>508474.58</v>
      </c>
      <c r="F197" s="14">
        <v>650</v>
      </c>
      <c r="G197" s="69">
        <f>9670.37+73571.95+73571.94+72813.69</f>
        <v>229627.95</v>
      </c>
      <c r="H197" s="52">
        <f t="shared" si="13"/>
        <v>738752.53</v>
      </c>
      <c r="I197" s="52">
        <f t="shared" si="15"/>
        <v>738752.53</v>
      </c>
      <c r="J197" s="19"/>
      <c r="K197" s="14"/>
      <c r="L197" s="201"/>
    </row>
    <row r="198" spans="1:12" x14ac:dyDescent="0.2">
      <c r="A198" s="22" t="s">
        <v>107</v>
      </c>
      <c r="B198" s="103">
        <v>42674</v>
      </c>
      <c r="C198" s="104">
        <v>43435</v>
      </c>
      <c r="D198" s="195">
        <v>50</v>
      </c>
      <c r="E198" s="14">
        <v>423703.39</v>
      </c>
      <c r="F198" s="14"/>
      <c r="G198" s="14">
        <f>6249.63+28429.67</f>
        <v>34679.299999999996</v>
      </c>
      <c r="H198" s="52">
        <f t="shared" si="13"/>
        <v>458382.69</v>
      </c>
      <c r="I198" s="52">
        <f t="shared" si="15"/>
        <v>458382.69</v>
      </c>
      <c r="J198" s="19"/>
      <c r="K198" s="14"/>
      <c r="L198" s="201"/>
    </row>
    <row r="199" spans="1:12" x14ac:dyDescent="0.2">
      <c r="A199" s="22" t="s">
        <v>106</v>
      </c>
      <c r="B199" s="103">
        <v>42674</v>
      </c>
      <c r="C199" s="104">
        <v>43435</v>
      </c>
      <c r="D199" s="195">
        <v>50</v>
      </c>
      <c r="E199" s="14">
        <v>508474.58</v>
      </c>
      <c r="F199" s="14">
        <v>219</v>
      </c>
      <c r="G199" s="69">
        <f>9670.37+73571.99+73571.9+55977.64</f>
        <v>212791.90000000002</v>
      </c>
      <c r="H199" s="52">
        <f t="shared" si="13"/>
        <v>721485.48</v>
      </c>
      <c r="I199" s="52">
        <f t="shared" si="15"/>
        <v>721485.48</v>
      </c>
      <c r="J199" s="19"/>
      <c r="K199" s="14"/>
      <c r="L199" s="201"/>
    </row>
    <row r="200" spans="1:12" ht="24" x14ac:dyDescent="0.2">
      <c r="A200" s="22" t="s">
        <v>100</v>
      </c>
      <c r="B200" s="103">
        <v>42674</v>
      </c>
      <c r="C200" s="104">
        <v>43435</v>
      </c>
      <c r="D200" s="195">
        <v>50</v>
      </c>
      <c r="E200" s="14">
        <f>1016949.16-508474.58</f>
        <v>508474.58</v>
      </c>
      <c r="F200" s="14">
        <v>200.9</v>
      </c>
      <c r="G200" s="69">
        <f>9670.37+73571.95+73571.94+112499.93</f>
        <v>269314.19</v>
      </c>
      <c r="H200" s="52">
        <f t="shared" si="13"/>
        <v>777989.67</v>
      </c>
      <c r="I200" s="52">
        <f t="shared" si="15"/>
        <v>777989.67</v>
      </c>
      <c r="J200" s="19"/>
      <c r="K200" s="14"/>
      <c r="L200" s="201"/>
    </row>
    <row r="201" spans="1:12" ht="24" x14ac:dyDescent="0.2">
      <c r="A201" s="22" t="s">
        <v>108</v>
      </c>
      <c r="B201" s="103">
        <v>42674</v>
      </c>
      <c r="C201" s="104">
        <v>43435</v>
      </c>
      <c r="D201" s="195">
        <v>50</v>
      </c>
      <c r="E201" s="14">
        <v>508474.58</v>
      </c>
      <c r="F201" s="14">
        <v>501.22</v>
      </c>
      <c r="G201" s="14">
        <f>9670.37+73571.95+73571.94+40066.98</f>
        <v>196881.24000000002</v>
      </c>
      <c r="H201" s="52">
        <f t="shared" si="13"/>
        <v>705857.04</v>
      </c>
      <c r="I201" s="52">
        <f t="shared" si="15"/>
        <v>705857.04</v>
      </c>
      <c r="J201" s="19"/>
      <c r="K201" s="14"/>
      <c r="L201" s="201"/>
    </row>
    <row r="202" spans="1:12" ht="24" x14ac:dyDescent="0.2">
      <c r="A202" s="22" t="s">
        <v>110</v>
      </c>
      <c r="B202" s="103">
        <v>42674</v>
      </c>
      <c r="C202" s="104">
        <v>43435</v>
      </c>
      <c r="D202" s="195">
        <v>50</v>
      </c>
      <c r="E202" s="14">
        <v>508474.58</v>
      </c>
      <c r="F202" s="14">
        <v>350</v>
      </c>
      <c r="G202" s="14">
        <f>9670.37+73571.95+73571.94+55435.35</f>
        <v>212249.61000000002</v>
      </c>
      <c r="H202" s="52">
        <f t="shared" si="13"/>
        <v>721074.19000000006</v>
      </c>
      <c r="I202" s="52">
        <f t="shared" si="15"/>
        <v>721074.19000000006</v>
      </c>
      <c r="J202" s="19"/>
      <c r="K202" s="14"/>
      <c r="L202" s="201"/>
    </row>
    <row r="203" spans="1:12" ht="24" x14ac:dyDescent="0.2">
      <c r="A203" s="22" t="s">
        <v>111</v>
      </c>
      <c r="B203" s="103">
        <v>42674</v>
      </c>
      <c r="C203" s="104">
        <v>43435</v>
      </c>
      <c r="D203" s="195">
        <v>50</v>
      </c>
      <c r="E203" s="14">
        <v>508474.58</v>
      </c>
      <c r="F203" s="14">
        <v>737</v>
      </c>
      <c r="G203" s="14">
        <f>9667.75+73482.87+73482.87+41516.49</f>
        <v>198149.97999999998</v>
      </c>
      <c r="H203" s="52">
        <f t="shared" si="13"/>
        <v>707361.56</v>
      </c>
      <c r="I203" s="52">
        <f t="shared" si="15"/>
        <v>707361.56</v>
      </c>
      <c r="J203" s="19"/>
      <c r="K203" s="14"/>
      <c r="L203" s="201"/>
    </row>
    <row r="204" spans="1:12" ht="24" x14ac:dyDescent="0.2">
      <c r="A204" s="22" t="s">
        <v>90</v>
      </c>
      <c r="B204" s="103">
        <v>42674</v>
      </c>
      <c r="C204" s="104">
        <v>43435</v>
      </c>
      <c r="D204" s="195">
        <v>50</v>
      </c>
      <c r="E204" s="14"/>
      <c r="F204" s="14">
        <f>508474.58+607.58</f>
        <v>509082.16000000003</v>
      </c>
      <c r="G204" s="69">
        <f>73571.95+73571.94+9670.37+78349.67</f>
        <v>235163.93</v>
      </c>
      <c r="H204" s="52">
        <f t="shared" ref="H204" si="16">E204+F204+G204</f>
        <v>744246.09000000008</v>
      </c>
      <c r="I204" s="52">
        <f t="shared" ref="I204" si="17">H204</f>
        <v>744246.09000000008</v>
      </c>
      <c r="J204" s="19"/>
      <c r="K204" s="14"/>
      <c r="L204" s="201"/>
    </row>
    <row r="205" spans="1:12" x14ac:dyDescent="0.2">
      <c r="A205" s="22" t="s">
        <v>246</v>
      </c>
      <c r="B205" s="103">
        <v>42674</v>
      </c>
      <c r="C205" s="104">
        <v>43435</v>
      </c>
      <c r="D205" s="195">
        <v>50</v>
      </c>
      <c r="E205" s="14">
        <v>508474.58</v>
      </c>
      <c r="F205" s="14">
        <v>810</v>
      </c>
      <c r="G205" s="14">
        <f>9670.56+73578.26+73578.26+32194.55</f>
        <v>189021.62999999998</v>
      </c>
      <c r="H205" s="52">
        <f>F205+E205+G205</f>
        <v>698306.21</v>
      </c>
      <c r="I205" s="52">
        <f>H205</f>
        <v>698306.21</v>
      </c>
      <c r="J205" s="19"/>
      <c r="K205" s="14"/>
      <c r="L205" s="201"/>
    </row>
    <row r="206" spans="1:12" x14ac:dyDescent="0.2">
      <c r="A206" s="22" t="s">
        <v>92</v>
      </c>
      <c r="B206" s="103">
        <v>42674</v>
      </c>
      <c r="C206" s="104">
        <v>43435</v>
      </c>
      <c r="D206" s="195">
        <v>50</v>
      </c>
      <c r="E206" s="14">
        <v>423703.39</v>
      </c>
      <c r="F206" s="14">
        <v>12110.1</v>
      </c>
      <c r="G206" s="69">
        <f>6249.63+60159.78</f>
        <v>66409.41</v>
      </c>
      <c r="H206" s="52">
        <f>F206+E206+G206</f>
        <v>502222.9</v>
      </c>
      <c r="I206" s="52">
        <f>H206</f>
        <v>502222.9</v>
      </c>
      <c r="J206" s="19"/>
      <c r="K206" s="14"/>
      <c r="L206" s="201"/>
    </row>
    <row r="207" spans="1:12" ht="24" x14ac:dyDescent="0.2">
      <c r="A207" s="22" t="s">
        <v>216</v>
      </c>
      <c r="B207" s="103">
        <v>42705</v>
      </c>
      <c r="C207" s="104">
        <v>43435</v>
      </c>
      <c r="D207" s="195">
        <v>50</v>
      </c>
      <c r="E207" s="14"/>
      <c r="F207" s="14">
        <v>423703.39</v>
      </c>
      <c r="G207" s="14">
        <f>6249.63+20304.31</f>
        <v>26553.940000000002</v>
      </c>
      <c r="H207" s="58">
        <f>F207+E207+G207</f>
        <v>450257.33</v>
      </c>
      <c r="I207" s="52">
        <f>H207</f>
        <v>450257.33</v>
      </c>
      <c r="J207" s="85"/>
      <c r="K207" s="43"/>
      <c r="L207" s="201"/>
    </row>
    <row r="208" spans="1:12" ht="24" x14ac:dyDescent="0.2">
      <c r="A208" s="22" t="s">
        <v>116</v>
      </c>
      <c r="B208" s="103">
        <v>42674</v>
      </c>
      <c r="C208" s="104">
        <v>43435</v>
      </c>
      <c r="D208" s="195">
        <v>50</v>
      </c>
      <c r="E208" s="14">
        <v>423703.39</v>
      </c>
      <c r="F208" s="14"/>
      <c r="G208" s="14">
        <v>6249.63</v>
      </c>
      <c r="H208" s="52">
        <f>F208+E208+G208</f>
        <v>429953.02</v>
      </c>
      <c r="I208" s="52">
        <f>H208</f>
        <v>429953.02</v>
      </c>
      <c r="J208" s="19"/>
      <c r="K208" s="75"/>
      <c r="L208" s="201"/>
    </row>
    <row r="209" spans="1:12" ht="24" x14ac:dyDescent="0.2">
      <c r="A209" s="22" t="s">
        <v>115</v>
      </c>
      <c r="B209" s="103">
        <v>42674</v>
      </c>
      <c r="C209" s="104">
        <v>43435</v>
      </c>
      <c r="D209" s="195">
        <v>50</v>
      </c>
      <c r="E209" s="14">
        <v>420578.18</v>
      </c>
      <c r="F209" s="14">
        <v>822.43</v>
      </c>
      <c r="G209" s="69">
        <f>9374.84+10873.68</f>
        <v>20248.52</v>
      </c>
      <c r="H209" s="52">
        <f>F209+E209+G209</f>
        <v>441649.13</v>
      </c>
      <c r="I209" s="52">
        <f>H209</f>
        <v>441649.13</v>
      </c>
      <c r="J209" s="19"/>
      <c r="K209" s="14"/>
      <c r="L209" s="201"/>
    </row>
    <row r="210" spans="1:12" ht="24" x14ac:dyDescent="0.2">
      <c r="A210" s="22" t="s">
        <v>123</v>
      </c>
      <c r="B210" s="103">
        <v>42675</v>
      </c>
      <c r="C210" s="104">
        <v>43435</v>
      </c>
      <c r="D210" s="195">
        <v>50</v>
      </c>
      <c r="E210" s="14"/>
      <c r="F210" s="14">
        <f>420578.18+1792.21</f>
        <v>422370.39</v>
      </c>
      <c r="G210" s="69">
        <f>9374.84+9075.12</f>
        <v>18449.96</v>
      </c>
      <c r="H210" s="52">
        <f t="shared" ref="H210" si="18">E210+F210+G210</f>
        <v>440820.35000000003</v>
      </c>
      <c r="I210" s="52">
        <f t="shared" ref="I210" si="19">H210</f>
        <v>440820.35000000003</v>
      </c>
      <c r="J210" s="19"/>
      <c r="K210" s="75"/>
      <c r="L210" s="201"/>
    </row>
    <row r="211" spans="1:12" ht="24" x14ac:dyDescent="0.2">
      <c r="A211" s="22" t="s">
        <v>112</v>
      </c>
      <c r="B211" s="103">
        <v>42674</v>
      </c>
      <c r="C211" s="104">
        <v>43435</v>
      </c>
      <c r="D211" s="195">
        <v>50</v>
      </c>
      <c r="E211" s="14">
        <v>423703.39</v>
      </c>
      <c r="F211" s="14">
        <v>308.20999999999998</v>
      </c>
      <c r="G211" s="14">
        <f>6249.63+35937.61</f>
        <v>42187.24</v>
      </c>
      <c r="H211" s="52">
        <f t="shared" ref="H211:H223" si="20">F211+E211+G211</f>
        <v>466198.84</v>
      </c>
      <c r="I211" s="52">
        <f>H211</f>
        <v>466198.84</v>
      </c>
      <c r="J211" s="19"/>
      <c r="K211" s="14"/>
      <c r="L211" s="201"/>
    </row>
    <row r="212" spans="1:12" ht="24" x14ac:dyDescent="0.2">
      <c r="A212" s="22" t="s">
        <v>113</v>
      </c>
      <c r="B212" s="103">
        <v>42674</v>
      </c>
      <c r="C212" s="104">
        <v>43435</v>
      </c>
      <c r="D212" s="195">
        <v>50</v>
      </c>
      <c r="E212" s="14">
        <v>423703.39</v>
      </c>
      <c r="F212" s="14">
        <v>447.34</v>
      </c>
      <c r="G212" s="14">
        <f>6249.63+46174.61</f>
        <v>52424.24</v>
      </c>
      <c r="H212" s="52">
        <f t="shared" si="20"/>
        <v>476574.97000000003</v>
      </c>
      <c r="I212" s="52">
        <f>H212</f>
        <v>476574.97000000003</v>
      </c>
      <c r="J212" s="19"/>
      <c r="K212" s="14"/>
      <c r="L212" s="201"/>
    </row>
    <row r="213" spans="1:12" ht="24" x14ac:dyDescent="0.2">
      <c r="A213" s="22" t="s">
        <v>114</v>
      </c>
      <c r="B213" s="103">
        <v>42674</v>
      </c>
      <c r="C213" s="104">
        <v>43435</v>
      </c>
      <c r="D213" s="195">
        <v>50</v>
      </c>
      <c r="E213" s="14">
        <v>423703.39</v>
      </c>
      <c r="F213" s="14">
        <v>423.47</v>
      </c>
      <c r="G213" s="14">
        <f>6249.63+33451.07</f>
        <v>39700.699999999997</v>
      </c>
      <c r="H213" s="52">
        <f t="shared" si="20"/>
        <v>463827.56</v>
      </c>
      <c r="I213" s="52">
        <f>H213</f>
        <v>463827.56</v>
      </c>
      <c r="J213" s="19"/>
      <c r="K213" s="14"/>
      <c r="L213" s="201"/>
    </row>
    <row r="214" spans="1:12" ht="24" x14ac:dyDescent="0.2">
      <c r="A214" s="22" t="s">
        <v>91</v>
      </c>
      <c r="B214" s="103">
        <v>42674</v>
      </c>
      <c r="C214" s="104">
        <v>43435</v>
      </c>
      <c r="D214" s="195">
        <v>50</v>
      </c>
      <c r="E214" s="14">
        <v>423703.39</v>
      </c>
      <c r="F214" s="14">
        <v>447.34</v>
      </c>
      <c r="G214" s="14">
        <f>6249.63+38178.52</f>
        <v>44428.149999999994</v>
      </c>
      <c r="H214" s="52">
        <f t="shared" si="20"/>
        <v>468578.88</v>
      </c>
      <c r="I214" s="52">
        <f>H214</f>
        <v>468578.88</v>
      </c>
      <c r="J214" s="19"/>
      <c r="K214" s="14"/>
      <c r="L214" s="201"/>
    </row>
    <row r="215" spans="1:12" x14ac:dyDescent="0.2">
      <c r="A215" s="18" t="s">
        <v>32</v>
      </c>
      <c r="B215" s="103">
        <v>40711</v>
      </c>
      <c r="C215" s="104">
        <v>44166</v>
      </c>
      <c r="D215" s="194">
        <v>40</v>
      </c>
      <c r="E215" s="14">
        <v>3491000</v>
      </c>
      <c r="F215" s="14">
        <f>8191035.17-8191035.17</f>
        <v>0</v>
      </c>
      <c r="G215" s="14">
        <v>307740</v>
      </c>
      <c r="H215" s="52">
        <f t="shared" si="20"/>
        <v>3798740</v>
      </c>
      <c r="I215" s="52">
        <f t="shared" si="9"/>
        <v>3798740</v>
      </c>
      <c r="J215" s="19"/>
      <c r="K215" s="14"/>
      <c r="L215" s="201"/>
    </row>
    <row r="216" spans="1:12" ht="17.25" customHeight="1" x14ac:dyDescent="0.2">
      <c r="A216" s="18" t="s">
        <v>33</v>
      </c>
      <c r="B216" s="103">
        <v>40711</v>
      </c>
      <c r="C216" s="103">
        <v>44166</v>
      </c>
      <c r="D216" s="194">
        <v>40</v>
      </c>
      <c r="E216" s="14">
        <v>3673101.7</v>
      </c>
      <c r="F216" s="14"/>
      <c r="G216" s="14">
        <v>339030.31</v>
      </c>
      <c r="H216" s="52">
        <f t="shared" si="20"/>
        <v>4012132.0100000002</v>
      </c>
      <c r="I216" s="52">
        <f t="shared" si="9"/>
        <v>4012132.0100000002</v>
      </c>
      <c r="J216" s="19"/>
      <c r="K216" s="14"/>
      <c r="L216" s="201"/>
    </row>
    <row r="217" spans="1:12" ht="24" x14ac:dyDescent="0.2">
      <c r="A217" s="22" t="s">
        <v>93</v>
      </c>
      <c r="B217" s="103">
        <v>42674</v>
      </c>
      <c r="C217" s="104">
        <v>43435</v>
      </c>
      <c r="D217" s="195">
        <v>40</v>
      </c>
      <c r="E217" s="14">
        <f>508936.63+286063.37</f>
        <v>795000</v>
      </c>
      <c r="F217" s="14">
        <v>16211.67</v>
      </c>
      <c r="G217" s="14">
        <f>14403.48+90753.47+90753.47+323.57+29414.47+414.88+419.49</f>
        <v>226482.83</v>
      </c>
      <c r="H217" s="52">
        <f t="shared" si="20"/>
        <v>1037694.5</v>
      </c>
      <c r="I217" s="52">
        <f t="shared" ref="I217:I223" si="21">H217</f>
        <v>1037694.5</v>
      </c>
      <c r="J217" s="19"/>
      <c r="K217" s="14"/>
      <c r="L217" s="201"/>
    </row>
    <row r="218" spans="1:12" ht="30" customHeight="1" x14ac:dyDescent="0.2">
      <c r="A218" s="18" t="s">
        <v>247</v>
      </c>
      <c r="B218" s="103">
        <v>43098</v>
      </c>
      <c r="C218" s="104">
        <v>43435</v>
      </c>
      <c r="D218" s="195">
        <v>95</v>
      </c>
      <c r="E218" s="14"/>
      <c r="F218" s="14"/>
      <c r="G218" s="14">
        <f>750000</f>
        <v>750000</v>
      </c>
      <c r="H218" s="52">
        <f t="shared" si="20"/>
        <v>750000</v>
      </c>
      <c r="I218" s="52">
        <f t="shared" si="21"/>
        <v>750000</v>
      </c>
      <c r="J218" s="19"/>
      <c r="K218" s="14"/>
      <c r="L218" s="201"/>
    </row>
    <row r="219" spans="1:12" ht="25.5" customHeight="1" x14ac:dyDescent="0.2">
      <c r="A219" s="18" t="s">
        <v>63</v>
      </c>
      <c r="B219" s="103">
        <v>42727</v>
      </c>
      <c r="C219" s="104">
        <v>43435</v>
      </c>
      <c r="D219" s="195">
        <v>30</v>
      </c>
      <c r="E219" s="14">
        <f>339345.41+42010.53</f>
        <v>381355.93999999994</v>
      </c>
      <c r="F219" s="14">
        <v>1496295.19</v>
      </c>
      <c r="G219" s="14">
        <f>37042.41+14816.96+22225.44+56.99+111.13+21562.5+112.37</f>
        <v>95927.8</v>
      </c>
      <c r="H219" s="52">
        <f t="shared" si="20"/>
        <v>1973578.93</v>
      </c>
      <c r="I219" s="52">
        <f t="shared" si="21"/>
        <v>1973578.93</v>
      </c>
      <c r="J219" s="19"/>
      <c r="K219" s="14"/>
      <c r="L219" s="201"/>
    </row>
    <row r="220" spans="1:12" ht="24" x14ac:dyDescent="0.2">
      <c r="A220" s="22" t="s">
        <v>94</v>
      </c>
      <c r="B220" s="103">
        <v>42674</v>
      </c>
      <c r="C220" s="104">
        <v>43435</v>
      </c>
      <c r="D220" s="195">
        <v>40</v>
      </c>
      <c r="E220" s="14">
        <f>428385.73+84021.05</f>
        <v>512406.77999999997</v>
      </c>
      <c r="F220" s="14">
        <v>8037.3</v>
      </c>
      <c r="G220" s="69">
        <f>9730.97+73660.25+77144.85+172.93+102.77+103.92</f>
        <v>160915.69</v>
      </c>
      <c r="H220" s="52">
        <f t="shared" si="20"/>
        <v>681359.77</v>
      </c>
      <c r="I220" s="52">
        <f t="shared" si="21"/>
        <v>681359.77</v>
      </c>
      <c r="J220" s="19"/>
      <c r="K220" s="14"/>
      <c r="L220" s="201"/>
    </row>
    <row r="221" spans="1:12" ht="24" x14ac:dyDescent="0.2">
      <c r="A221" s="22" t="s">
        <v>248</v>
      </c>
      <c r="B221" s="103">
        <v>43039</v>
      </c>
      <c r="C221" s="104">
        <v>43435</v>
      </c>
      <c r="D221" s="195">
        <v>20</v>
      </c>
      <c r="E221" s="14">
        <v>296278.88</v>
      </c>
      <c r="F221" s="14"/>
      <c r="G221" s="69">
        <f>32430.97+17472.22</f>
        <v>49903.19</v>
      </c>
      <c r="H221" s="52">
        <f t="shared" si="20"/>
        <v>346182.07</v>
      </c>
      <c r="I221" s="52">
        <f t="shared" si="21"/>
        <v>346182.07</v>
      </c>
      <c r="J221" s="19"/>
      <c r="K221" s="14"/>
      <c r="L221" s="201"/>
    </row>
    <row r="222" spans="1:12" x14ac:dyDescent="0.2">
      <c r="A222" s="22" t="s">
        <v>262</v>
      </c>
      <c r="B222" s="103">
        <v>43039</v>
      </c>
      <c r="C222" s="104">
        <v>43435</v>
      </c>
      <c r="D222" s="195">
        <v>20</v>
      </c>
      <c r="E222" s="14">
        <v>436246.93</v>
      </c>
      <c r="F222" s="14"/>
      <c r="G222" s="69">
        <f>40231.28+24998.76</f>
        <v>65230.039999999994</v>
      </c>
      <c r="H222" s="52">
        <f t="shared" si="20"/>
        <v>501476.97</v>
      </c>
      <c r="I222" s="52">
        <f t="shared" si="21"/>
        <v>501476.97</v>
      </c>
      <c r="J222" s="19"/>
      <c r="K222" s="14"/>
      <c r="L222" s="201"/>
    </row>
    <row r="223" spans="1:12" ht="12" customHeight="1" x14ac:dyDescent="0.2">
      <c r="A223" s="22" t="s">
        <v>65</v>
      </c>
      <c r="B223" s="103">
        <v>42705</v>
      </c>
      <c r="C223" s="103">
        <v>43435</v>
      </c>
      <c r="D223" s="194">
        <v>80</v>
      </c>
      <c r="E223" s="14">
        <f>2510858.23+6879.05</f>
        <v>2517737.2799999998</v>
      </c>
      <c r="F223" s="14">
        <f>8280946.56+1882531.34</f>
        <v>10163477.9</v>
      </c>
      <c r="G223" s="14">
        <f>42745.5+64600+387141.77+581400+112500+2331.12+3985.27+4221.85</f>
        <v>1198925.5100000002</v>
      </c>
      <c r="H223" s="52">
        <f t="shared" si="20"/>
        <v>13880140.689999999</v>
      </c>
      <c r="I223" s="52">
        <f t="shared" si="21"/>
        <v>13880140.689999999</v>
      </c>
      <c r="J223" s="19"/>
      <c r="K223" s="14"/>
      <c r="L223" s="201"/>
    </row>
    <row r="224" spans="1:12" ht="12.75" customHeight="1" x14ac:dyDescent="0.2">
      <c r="A224" s="18" t="s">
        <v>5</v>
      </c>
      <c r="B224" s="103">
        <v>40908</v>
      </c>
      <c r="C224" s="104">
        <v>43435</v>
      </c>
      <c r="D224" s="195">
        <v>40</v>
      </c>
      <c r="E224" s="14">
        <f>460260.01+445124</f>
        <v>905384.01</v>
      </c>
      <c r="F224" s="14">
        <f>2628813+193052.86+3623.98</f>
        <v>2825489.84</v>
      </c>
      <c r="G224" s="69">
        <f>951306.43+47221.93+36724.22+36724.25+37127.77+21163.87+13328.68+740.48+513577.67+460260.01+2750.68+7372.33</f>
        <v>2128298.3200000003</v>
      </c>
      <c r="H224" s="52">
        <f t="shared" ref="H224" si="22">E224+F224+G224</f>
        <v>5859172.1699999999</v>
      </c>
      <c r="I224" s="52">
        <f t="shared" ref="I224" si="23">H224</f>
        <v>5859172.1699999999</v>
      </c>
      <c r="J224" s="84"/>
      <c r="K224" s="14"/>
      <c r="L224" s="201"/>
    </row>
    <row r="225" spans="1:12" x14ac:dyDescent="0.2">
      <c r="A225" s="18" t="s">
        <v>64</v>
      </c>
      <c r="B225" s="103">
        <v>42674</v>
      </c>
      <c r="C225" s="103">
        <v>43435</v>
      </c>
      <c r="D225" s="194">
        <v>95</v>
      </c>
      <c r="E225" s="14">
        <f>5746153.16+355536.67</f>
        <v>6101689.8300000001</v>
      </c>
      <c r="F225" s="14">
        <f>613+20100935.52</f>
        <v>20101548.52</v>
      </c>
      <c r="G225" s="14">
        <f>109688.7+800899.64+533933.09+243746.69+274736.94+5556.87</f>
        <v>1968561.93</v>
      </c>
      <c r="H225" s="52">
        <f t="shared" ref="H225:H242" si="24">F225+E225+G225</f>
        <v>28171800.280000001</v>
      </c>
      <c r="I225" s="52">
        <f>H225</f>
        <v>28171800.280000001</v>
      </c>
      <c r="J225" s="19"/>
      <c r="K225" s="14"/>
      <c r="L225" s="201"/>
    </row>
    <row r="226" spans="1:12" x14ac:dyDescent="0.2">
      <c r="A226" s="18" t="s">
        <v>249</v>
      </c>
      <c r="B226" s="103">
        <v>43039</v>
      </c>
      <c r="C226" s="103">
        <v>43647</v>
      </c>
      <c r="D226" s="194">
        <v>30</v>
      </c>
      <c r="E226" s="14">
        <f>1533063.23+367597.1</f>
        <v>1900660.33</v>
      </c>
      <c r="F226" s="14"/>
      <c r="G226" s="14">
        <v>28034.74</v>
      </c>
      <c r="H226" s="52">
        <f t="shared" si="24"/>
        <v>1928695.07</v>
      </c>
      <c r="I226" s="52">
        <f>H226</f>
        <v>1928695.07</v>
      </c>
      <c r="J226" s="19"/>
      <c r="K226" s="14"/>
      <c r="L226" s="201"/>
    </row>
    <row r="227" spans="1:12" ht="24" x14ac:dyDescent="0.2">
      <c r="A227" s="22" t="s">
        <v>95</v>
      </c>
      <c r="B227" s="103">
        <v>42674</v>
      </c>
      <c r="C227" s="104">
        <v>43312</v>
      </c>
      <c r="D227" s="195">
        <v>95</v>
      </c>
      <c r="E227" s="14">
        <f>473906.86+204050.76</f>
        <v>677957.62</v>
      </c>
      <c r="F227" s="14">
        <v>1508924.84</v>
      </c>
      <c r="G227" s="14">
        <f>12170.73+29435.36+117741.42+149.95+22070.27+14474.63+323.9</f>
        <v>196366.26</v>
      </c>
      <c r="H227" s="52">
        <f t="shared" si="24"/>
        <v>2383248.7199999997</v>
      </c>
      <c r="I227" s="52">
        <f>H227</f>
        <v>2383248.7199999997</v>
      </c>
      <c r="J227" s="19"/>
      <c r="K227" s="14"/>
      <c r="L227" s="201"/>
    </row>
    <row r="228" spans="1:12" ht="12" customHeight="1" x14ac:dyDescent="0.2">
      <c r="A228" s="22" t="s">
        <v>66</v>
      </c>
      <c r="B228" s="103">
        <v>42674</v>
      </c>
      <c r="C228" s="104">
        <v>43312</v>
      </c>
      <c r="D228" s="194">
        <v>95</v>
      </c>
      <c r="E228" s="14">
        <f>473906.86+321950.86</f>
        <v>795857.72</v>
      </c>
      <c r="F228" s="14">
        <f>93324.68+3717739.96</f>
        <v>3811064.64</v>
      </c>
      <c r="G228" s="14">
        <f>12173.65+29475.03+187.49+55100.36+320.55+1315.76</f>
        <v>98572.84</v>
      </c>
      <c r="H228" s="52">
        <f t="shared" si="24"/>
        <v>4705495.2</v>
      </c>
      <c r="I228" s="52">
        <f>H228</f>
        <v>4705495.2</v>
      </c>
      <c r="J228" s="19"/>
      <c r="K228" s="14"/>
      <c r="L228" s="201"/>
    </row>
    <row r="229" spans="1:12" x14ac:dyDescent="0.2">
      <c r="A229" s="18" t="s">
        <v>9</v>
      </c>
      <c r="B229" s="103">
        <v>40903</v>
      </c>
      <c r="C229" s="103">
        <v>43435</v>
      </c>
      <c r="D229" s="194">
        <v>95</v>
      </c>
      <c r="E229" s="69">
        <f>14745700+136277.39</f>
        <v>14881977.390000001</v>
      </c>
      <c r="F229" s="14">
        <f>303993.75+1969491.53+30513756.51+18049264.87+17348914.01-1969491.53+1969491.53</f>
        <v>68185420.670000002</v>
      </c>
      <c r="G229" s="14">
        <f>738385+5951.54+6293.58+975670.38+6293.58+197260+51103.03+41107.83+32350.85+12041.46+37271.4-12041.46-197260+203919.16+6733.15</f>
        <v>2105079.5000000005</v>
      </c>
      <c r="H229" s="52">
        <f t="shared" si="24"/>
        <v>85172477.560000002</v>
      </c>
      <c r="I229" s="52">
        <f t="shared" ref="I229:I230" si="25">H229</f>
        <v>85172477.560000002</v>
      </c>
      <c r="J229" s="19"/>
      <c r="K229" s="14"/>
      <c r="L229" s="201"/>
    </row>
    <row r="230" spans="1:12" x14ac:dyDescent="0.2">
      <c r="A230" s="18" t="s">
        <v>937</v>
      </c>
      <c r="B230" s="103">
        <v>43039</v>
      </c>
      <c r="C230" s="103">
        <v>43647</v>
      </c>
      <c r="D230" s="194">
        <v>30</v>
      </c>
      <c r="E230" s="14">
        <f>5576229.27+2174110.45</f>
        <v>7750339.7199999997</v>
      </c>
      <c r="F230" s="14"/>
      <c r="G230" s="14">
        <v>114317.51</v>
      </c>
      <c r="H230" s="52">
        <f t="shared" si="24"/>
        <v>7864657.2299999995</v>
      </c>
      <c r="I230" s="52">
        <f t="shared" si="25"/>
        <v>7864657.2299999995</v>
      </c>
      <c r="J230" s="83"/>
      <c r="K230" s="75"/>
      <c r="L230" s="201"/>
    </row>
    <row r="231" spans="1:12" ht="23.25" customHeight="1" x14ac:dyDescent="0.2">
      <c r="A231" s="22" t="s">
        <v>67</v>
      </c>
      <c r="B231" s="103">
        <v>42674</v>
      </c>
      <c r="C231" s="103">
        <v>43435</v>
      </c>
      <c r="D231" s="194">
        <v>80</v>
      </c>
      <c r="E231" s="14">
        <v>790936.52</v>
      </c>
      <c r="F231" s="14">
        <f>1650884.14+1594273.94</f>
        <v>3245158.08</v>
      </c>
      <c r="G231" s="14">
        <f>20029.63+126225+416175.98+63112.5+3686.62+4583.39+84375+4842.52+77.91+4792.29</f>
        <v>727900.84000000008</v>
      </c>
      <c r="H231" s="52">
        <f t="shared" si="24"/>
        <v>4763995.4400000004</v>
      </c>
      <c r="I231" s="52">
        <f t="shared" si="9"/>
        <v>4763995.4400000004</v>
      </c>
      <c r="J231" s="19"/>
      <c r="K231" s="14"/>
      <c r="L231" s="201"/>
    </row>
    <row r="232" spans="1:12" ht="12" customHeight="1" x14ac:dyDescent="0.2">
      <c r="A232" s="22" t="s">
        <v>938</v>
      </c>
      <c r="B232" s="103">
        <v>43039</v>
      </c>
      <c r="C232" s="103">
        <v>43647</v>
      </c>
      <c r="D232" s="194">
        <v>40</v>
      </c>
      <c r="E232" s="14">
        <f>4179082.84+1655437.93</f>
        <v>5834520.7699999996</v>
      </c>
      <c r="F232" s="14"/>
      <c r="G232" s="14">
        <f>83280.14+8.79</f>
        <v>83288.929999999993</v>
      </c>
      <c r="H232" s="52">
        <f t="shared" si="24"/>
        <v>5917809.6999999993</v>
      </c>
      <c r="I232" s="52">
        <f t="shared" si="9"/>
        <v>5917809.6999999993</v>
      </c>
      <c r="J232" s="19"/>
      <c r="K232" s="14"/>
      <c r="L232" s="201"/>
    </row>
    <row r="233" spans="1:12" ht="30" customHeight="1" x14ac:dyDescent="0.2">
      <c r="A233" s="21" t="s">
        <v>389</v>
      </c>
      <c r="B233" s="103">
        <v>43069</v>
      </c>
      <c r="C233" s="103">
        <v>43829</v>
      </c>
      <c r="D233" s="194">
        <v>15</v>
      </c>
      <c r="E233" s="14"/>
      <c r="F233" s="14"/>
      <c r="G233" s="14">
        <v>14793.46</v>
      </c>
      <c r="H233" s="52">
        <f t="shared" si="24"/>
        <v>14793.46</v>
      </c>
      <c r="I233" s="52">
        <f>H233</f>
        <v>14793.46</v>
      </c>
      <c r="J233" s="82"/>
      <c r="K233" s="14"/>
      <c r="L233" s="201"/>
    </row>
    <row r="234" spans="1:12" x14ac:dyDescent="0.2">
      <c r="A234" s="22" t="s">
        <v>128</v>
      </c>
      <c r="B234" s="103">
        <v>42947</v>
      </c>
      <c r="C234" s="104">
        <v>43344</v>
      </c>
      <c r="D234" s="194">
        <v>95</v>
      </c>
      <c r="E234" s="69">
        <v>2634906.98</v>
      </c>
      <c r="F234" s="14"/>
      <c r="G234" s="14">
        <v>38864.879999999997</v>
      </c>
      <c r="H234" s="52">
        <f t="shared" si="24"/>
        <v>2673771.86</v>
      </c>
      <c r="I234" s="52">
        <f t="shared" ref="I234:I242" si="26">H234</f>
        <v>2673771.86</v>
      </c>
      <c r="J234" s="19"/>
      <c r="K234" s="14"/>
      <c r="L234" s="201"/>
    </row>
    <row r="235" spans="1:12" ht="24" x14ac:dyDescent="0.2">
      <c r="A235" s="22" t="s">
        <v>96</v>
      </c>
      <c r="B235" s="103">
        <v>42674</v>
      </c>
      <c r="C235" s="104">
        <v>43312</v>
      </c>
      <c r="D235" s="195">
        <v>95</v>
      </c>
      <c r="E235" s="14">
        <f>339345.4+42010.52</f>
        <v>381355.92000000004</v>
      </c>
      <c r="F235" s="14">
        <f>7953.87+1687297.57</f>
        <v>1695251.4400000002</v>
      </c>
      <c r="G235" s="69">
        <f>87520.32+21562.5</f>
        <v>109082.82</v>
      </c>
      <c r="H235" s="52">
        <f t="shared" si="24"/>
        <v>2185690.1800000002</v>
      </c>
      <c r="I235" s="52">
        <f t="shared" si="26"/>
        <v>2185690.1800000002</v>
      </c>
      <c r="J235" s="19"/>
      <c r="K235" s="14"/>
      <c r="L235" s="201"/>
    </row>
    <row r="236" spans="1:12" ht="24" x14ac:dyDescent="0.2">
      <c r="A236" s="22" t="s">
        <v>69</v>
      </c>
      <c r="B236" s="103">
        <v>42705</v>
      </c>
      <c r="C236" s="104">
        <v>43312</v>
      </c>
      <c r="D236" s="195">
        <v>95</v>
      </c>
      <c r="E236" s="69">
        <f>302749.7+120979.11</f>
        <v>423728.81</v>
      </c>
      <c r="F236" s="14">
        <v>1746467.75</v>
      </c>
      <c r="G236" s="14">
        <f>7330.61+36631+14652.4+21978.6+91.91+179.22+181.21</f>
        <v>81044.950000000012</v>
      </c>
      <c r="H236" s="52">
        <f t="shared" si="24"/>
        <v>2251241.5100000002</v>
      </c>
      <c r="I236" s="52">
        <f t="shared" si="26"/>
        <v>2251241.5100000002</v>
      </c>
      <c r="J236" s="19"/>
      <c r="K236" s="14"/>
      <c r="L236" s="201"/>
    </row>
    <row r="237" spans="1:12" ht="24" x14ac:dyDescent="0.2">
      <c r="A237" s="22" t="s">
        <v>97</v>
      </c>
      <c r="B237" s="103">
        <v>42674</v>
      </c>
      <c r="C237" s="104">
        <v>43435</v>
      </c>
      <c r="D237" s="195">
        <v>70</v>
      </c>
      <c r="E237" s="14">
        <f>5740697.89+360302.11</f>
        <v>6101000</v>
      </c>
      <c r="F237" s="14">
        <v>1125749.72</v>
      </c>
      <c r="G237" s="14">
        <f>109646.13+932845.32+399790.85+21419.88+155955.03+23391.8+22732.63</f>
        <v>1665781.6399999997</v>
      </c>
      <c r="H237" s="52">
        <f t="shared" si="24"/>
        <v>8892531.3599999994</v>
      </c>
      <c r="I237" s="52">
        <f t="shared" si="26"/>
        <v>8892531.3599999994</v>
      </c>
      <c r="J237" s="19"/>
      <c r="K237" s="14"/>
      <c r="L237" s="201"/>
    </row>
    <row r="238" spans="1:12" x14ac:dyDescent="0.2">
      <c r="A238" s="22" t="s">
        <v>251</v>
      </c>
      <c r="B238" s="103">
        <v>43039</v>
      </c>
      <c r="C238" s="103">
        <v>43647</v>
      </c>
      <c r="D238" s="195">
        <v>10</v>
      </c>
      <c r="E238" s="14">
        <v>319507.53000000003</v>
      </c>
      <c r="F238" s="14"/>
      <c r="G238" s="14">
        <v>32017.88</v>
      </c>
      <c r="H238" s="52">
        <f t="shared" si="24"/>
        <v>351525.41000000003</v>
      </c>
      <c r="I238" s="52">
        <f t="shared" si="26"/>
        <v>351525.41000000003</v>
      </c>
      <c r="J238" s="19"/>
      <c r="K238" s="14"/>
      <c r="L238" s="201"/>
    </row>
    <row r="239" spans="1:12" x14ac:dyDescent="0.2">
      <c r="A239" s="22" t="s">
        <v>252</v>
      </c>
      <c r="B239" s="103">
        <v>43039</v>
      </c>
      <c r="C239" s="103">
        <v>43647</v>
      </c>
      <c r="D239" s="195">
        <v>10</v>
      </c>
      <c r="E239" s="14"/>
      <c r="F239" s="14"/>
      <c r="G239" s="14">
        <v>49398.59</v>
      </c>
      <c r="H239" s="52">
        <f t="shared" si="24"/>
        <v>49398.59</v>
      </c>
      <c r="I239" s="52">
        <f t="shared" si="26"/>
        <v>49398.59</v>
      </c>
      <c r="J239" s="19"/>
      <c r="K239" s="14"/>
      <c r="L239" s="201"/>
    </row>
    <row r="240" spans="1:12" ht="15.75" customHeight="1" x14ac:dyDescent="0.2">
      <c r="A240" s="18" t="s">
        <v>10</v>
      </c>
      <c r="B240" s="103">
        <v>40903</v>
      </c>
      <c r="C240" s="104">
        <v>43800</v>
      </c>
      <c r="D240" s="195">
        <v>40</v>
      </c>
      <c r="E240" s="14">
        <v>7778000</v>
      </c>
      <c r="F240" s="14"/>
      <c r="G240" s="14">
        <v>421628</v>
      </c>
      <c r="H240" s="52">
        <f t="shared" si="24"/>
        <v>8199628</v>
      </c>
      <c r="I240" s="52">
        <f t="shared" si="26"/>
        <v>8199628</v>
      </c>
      <c r="J240" s="19"/>
      <c r="K240" s="14"/>
      <c r="L240" s="201"/>
    </row>
    <row r="241" spans="1:12" ht="28.5" customHeight="1" x14ac:dyDescent="0.2">
      <c r="A241" s="18" t="s">
        <v>72</v>
      </c>
      <c r="B241" s="103">
        <v>42674</v>
      </c>
      <c r="C241" s="104">
        <v>43435</v>
      </c>
      <c r="D241" s="195">
        <v>50</v>
      </c>
      <c r="E241" s="14">
        <f>9476344.36+608401.41</f>
        <v>10084745.77</v>
      </c>
      <c r="F241" s="14">
        <f>631370+480362.61+11647054.71</f>
        <v>12758787.32</v>
      </c>
      <c r="G241" s="14">
        <f>148750+1885277.97+807976.27+13676.71+24618.08+24891.62</f>
        <v>2905190.6500000004</v>
      </c>
      <c r="H241" s="52">
        <f t="shared" si="24"/>
        <v>25748723.740000002</v>
      </c>
      <c r="I241" s="52">
        <f t="shared" si="26"/>
        <v>25748723.740000002</v>
      </c>
      <c r="J241" s="19"/>
      <c r="K241" s="14"/>
      <c r="L241" s="201"/>
    </row>
    <row r="242" spans="1:12" x14ac:dyDescent="0.2">
      <c r="A242" s="18" t="s">
        <v>253</v>
      </c>
      <c r="B242" s="103">
        <v>43039</v>
      </c>
      <c r="C242" s="103">
        <v>43647</v>
      </c>
      <c r="D242" s="195">
        <v>40</v>
      </c>
      <c r="E242" s="14">
        <v>418926.86</v>
      </c>
      <c r="F242" s="14"/>
      <c r="G242" s="14">
        <v>37519.07</v>
      </c>
      <c r="H242" s="52">
        <f t="shared" si="24"/>
        <v>456445.93</v>
      </c>
      <c r="I242" s="52">
        <f t="shared" si="26"/>
        <v>456445.93</v>
      </c>
      <c r="J242" s="19"/>
      <c r="K242" s="14"/>
      <c r="L242" s="201"/>
    </row>
    <row r="243" spans="1:12" ht="24.75" customHeight="1" x14ac:dyDescent="0.2">
      <c r="A243" s="18" t="s">
        <v>58</v>
      </c>
      <c r="B243" s="103">
        <v>42654</v>
      </c>
      <c r="C243" s="104">
        <v>43435</v>
      </c>
      <c r="D243" s="195">
        <v>90</v>
      </c>
      <c r="E243" s="14"/>
      <c r="F243" s="14">
        <f>473664.63+204301.47+11128.2+47793.63+3341377.74</f>
        <v>4078265.67</v>
      </c>
      <c r="G243" s="69">
        <f>12458.25+1016.06+3092.2+83330.25+15982.61+17675.18+83330.24+19862.11+477.13+49331.44+373576.03+23413.69+538.06+17205.68+544.04</f>
        <v>701832.97000000009</v>
      </c>
      <c r="H243" s="52">
        <f t="shared" ref="H243:H244" si="27">E243+F243+G243</f>
        <v>4780098.6399999997</v>
      </c>
      <c r="I243" s="52">
        <f t="shared" ref="I243:I244" si="28">H243</f>
        <v>4780098.6399999997</v>
      </c>
      <c r="J243" s="84"/>
      <c r="K243" s="14"/>
      <c r="L243" s="201"/>
    </row>
    <row r="244" spans="1:12" ht="24.75" customHeight="1" x14ac:dyDescent="0.2">
      <c r="A244" s="18" t="s">
        <v>263</v>
      </c>
      <c r="B244" s="103">
        <v>43039</v>
      </c>
      <c r="C244" s="103">
        <v>43647</v>
      </c>
      <c r="D244" s="195">
        <v>30</v>
      </c>
      <c r="E244" s="14">
        <v>183756.37</v>
      </c>
      <c r="F244" s="14"/>
      <c r="G244" s="69">
        <f>2710.41+19132.92</f>
        <v>21843.329999999998</v>
      </c>
      <c r="H244" s="52">
        <f t="shared" si="27"/>
        <v>205599.69999999998</v>
      </c>
      <c r="I244" s="52">
        <f t="shared" si="28"/>
        <v>205599.69999999998</v>
      </c>
      <c r="J244" s="84"/>
      <c r="K244" s="14"/>
      <c r="L244" s="201"/>
    </row>
    <row r="245" spans="1:12" ht="24" x14ac:dyDescent="0.2">
      <c r="A245" s="18" t="s">
        <v>71</v>
      </c>
      <c r="B245" s="103">
        <v>42674</v>
      </c>
      <c r="C245" s="104">
        <v>43435</v>
      </c>
      <c r="D245" s="195">
        <v>40</v>
      </c>
      <c r="E245" s="14">
        <f>10642383.5+645752.09</f>
        <v>11288135.59</v>
      </c>
      <c r="F245" s="14">
        <v>2688490.08</v>
      </c>
      <c r="G245" s="14">
        <f>166500+1331918.64+887945.76+7058.72+13666.89</f>
        <v>2407090.0100000002</v>
      </c>
      <c r="H245" s="52">
        <f>F245+E245+G245</f>
        <v>16383715.68</v>
      </c>
      <c r="I245" s="52">
        <f>H245</f>
        <v>16383715.68</v>
      </c>
      <c r="J245" s="19"/>
      <c r="K245" s="14"/>
      <c r="L245" s="201"/>
    </row>
    <row r="246" spans="1:12" ht="12.75" customHeight="1" x14ac:dyDescent="0.2">
      <c r="A246" s="18" t="s">
        <v>254</v>
      </c>
      <c r="B246" s="103">
        <v>43039</v>
      </c>
      <c r="C246" s="103">
        <v>43647</v>
      </c>
      <c r="D246" s="195">
        <v>40</v>
      </c>
      <c r="E246" s="14">
        <f>2532286.49+1052559</f>
        <v>3584845.49</v>
      </c>
      <c r="F246" s="14"/>
      <c r="G246" s="69">
        <f>52876.47+21.58</f>
        <v>52898.05</v>
      </c>
      <c r="H246" s="52">
        <f t="shared" ref="H246" si="29">E246+F246+G246</f>
        <v>3637743.54</v>
      </c>
      <c r="I246" s="52">
        <f t="shared" ref="I246" si="30">H246</f>
        <v>3637743.54</v>
      </c>
      <c r="J246" s="84"/>
      <c r="K246" s="14"/>
      <c r="L246" s="201"/>
    </row>
    <row r="247" spans="1:12" x14ac:dyDescent="0.2">
      <c r="A247" s="18" t="s">
        <v>11</v>
      </c>
      <c r="B247" s="103">
        <v>40903</v>
      </c>
      <c r="C247" s="104">
        <v>43800</v>
      </c>
      <c r="D247" s="195">
        <v>40</v>
      </c>
      <c r="E247" s="14">
        <v>6302500</v>
      </c>
      <c r="F247" s="14"/>
      <c r="G247" s="69">
        <v>364502</v>
      </c>
      <c r="H247" s="52">
        <f t="shared" ref="H247:H258" si="31">F247+E247+G247</f>
        <v>6667002</v>
      </c>
      <c r="I247" s="52">
        <f>H247</f>
        <v>6667002</v>
      </c>
      <c r="J247" s="19"/>
      <c r="K247" s="14"/>
      <c r="L247" s="201"/>
    </row>
    <row r="248" spans="1:12" x14ac:dyDescent="0.2">
      <c r="A248" s="18" t="s">
        <v>255</v>
      </c>
      <c r="B248" s="103">
        <v>43039</v>
      </c>
      <c r="C248" s="104">
        <v>43800</v>
      </c>
      <c r="D248" s="195">
        <v>40</v>
      </c>
      <c r="E248" s="14">
        <f>1958014.21+798048.71</f>
        <v>2756062.92</v>
      </c>
      <c r="F248" s="14"/>
      <c r="G248" s="69">
        <v>40651.919999999998</v>
      </c>
      <c r="H248" s="52">
        <f t="shared" si="31"/>
        <v>2796714.84</v>
      </c>
      <c r="I248" s="52">
        <f t="shared" si="9"/>
        <v>2796714.84</v>
      </c>
      <c r="J248" s="19"/>
      <c r="K248" s="14"/>
      <c r="L248" s="201"/>
    </row>
    <row r="249" spans="1:12" x14ac:dyDescent="0.2">
      <c r="A249" s="18" t="s">
        <v>70</v>
      </c>
      <c r="B249" s="103">
        <v>42674</v>
      </c>
      <c r="C249" s="104">
        <v>43435</v>
      </c>
      <c r="D249" s="195">
        <v>80</v>
      </c>
      <c r="E249" s="14">
        <v>8916820.8100000005</v>
      </c>
      <c r="F249" s="14">
        <f>7656.83+21284159.08</f>
        <v>21291815.909999996</v>
      </c>
      <c r="G249" s="14">
        <f>171320.37+2698119.87+343750+21086.32+13701.6</f>
        <v>3247978.16</v>
      </c>
      <c r="H249" s="52">
        <f t="shared" si="31"/>
        <v>33456614.879999999</v>
      </c>
      <c r="I249" s="52">
        <f t="shared" ref="I249:I254" si="32">H249</f>
        <v>33456614.879999999</v>
      </c>
      <c r="J249" s="19"/>
      <c r="K249" s="14"/>
      <c r="L249" s="201"/>
    </row>
    <row r="250" spans="1:12" ht="36" x14ac:dyDescent="0.2">
      <c r="A250" s="18" t="s">
        <v>256</v>
      </c>
      <c r="B250" s="103">
        <v>43039</v>
      </c>
      <c r="C250" s="104">
        <v>43800</v>
      </c>
      <c r="D250" s="195">
        <v>40</v>
      </c>
      <c r="E250" s="14">
        <f>2292677.03+1103624.16</f>
        <v>3396301.1899999995</v>
      </c>
      <c r="F250" s="14"/>
      <c r="G250" s="14">
        <f>50095.44+101.58</f>
        <v>50197.020000000004</v>
      </c>
      <c r="H250" s="52">
        <f t="shared" si="31"/>
        <v>3446498.2099999995</v>
      </c>
      <c r="I250" s="52">
        <f t="shared" si="32"/>
        <v>3446498.2099999995</v>
      </c>
      <c r="J250" s="83"/>
      <c r="K250" s="75"/>
      <c r="L250" s="201"/>
    </row>
    <row r="251" spans="1:12" ht="36" x14ac:dyDescent="0.2">
      <c r="A251" s="18" t="s">
        <v>257</v>
      </c>
      <c r="B251" s="103">
        <v>43039</v>
      </c>
      <c r="C251" s="104">
        <v>43800</v>
      </c>
      <c r="D251" s="195">
        <v>10</v>
      </c>
      <c r="E251" s="14">
        <v>261435.92</v>
      </c>
      <c r="F251" s="14"/>
      <c r="G251" s="14">
        <v>27925.95</v>
      </c>
      <c r="H251" s="52">
        <f t="shared" si="31"/>
        <v>289361.87</v>
      </c>
      <c r="I251" s="52">
        <f t="shared" si="32"/>
        <v>289361.87</v>
      </c>
      <c r="J251" s="83"/>
      <c r="K251" s="75"/>
      <c r="L251" s="201"/>
    </row>
    <row r="252" spans="1:12" x14ac:dyDescent="0.2">
      <c r="A252" s="18" t="s">
        <v>258</v>
      </c>
      <c r="B252" s="103">
        <v>43039</v>
      </c>
      <c r="C252" s="104">
        <v>43800</v>
      </c>
      <c r="D252" s="195">
        <v>40</v>
      </c>
      <c r="E252" s="14">
        <f>2019543.09+934821.83</f>
        <v>2954364.92</v>
      </c>
      <c r="F252" s="14"/>
      <c r="G252" s="14">
        <v>43576.88</v>
      </c>
      <c r="H252" s="52">
        <f t="shared" si="31"/>
        <v>2997941.8</v>
      </c>
      <c r="I252" s="52">
        <f t="shared" si="32"/>
        <v>2997941.8</v>
      </c>
      <c r="J252" s="83"/>
      <c r="K252" s="75"/>
      <c r="L252" s="201"/>
    </row>
    <row r="253" spans="1:12" x14ac:dyDescent="0.2">
      <c r="A253" s="18" t="s">
        <v>259</v>
      </c>
      <c r="B253" s="103">
        <v>43039</v>
      </c>
      <c r="C253" s="104">
        <v>43800</v>
      </c>
      <c r="D253" s="195">
        <v>40</v>
      </c>
      <c r="E253" s="14">
        <f>1447604.63+641034.24</f>
        <v>2088638.8699999999</v>
      </c>
      <c r="F253" s="14"/>
      <c r="G253" s="14">
        <f>30807.42+10.06</f>
        <v>30817.48</v>
      </c>
      <c r="H253" s="52">
        <f t="shared" si="31"/>
        <v>2119456.35</v>
      </c>
      <c r="I253" s="52">
        <f t="shared" si="32"/>
        <v>2119456.35</v>
      </c>
      <c r="J253" s="83"/>
      <c r="K253" s="75"/>
      <c r="L253" s="201"/>
    </row>
    <row r="254" spans="1:12" x14ac:dyDescent="0.2">
      <c r="A254" s="18" t="s">
        <v>260</v>
      </c>
      <c r="B254" s="103">
        <v>43039</v>
      </c>
      <c r="C254" s="104">
        <v>43800</v>
      </c>
      <c r="D254" s="195">
        <v>40</v>
      </c>
      <c r="E254" s="14">
        <f>2087084.55+638121.93</f>
        <v>2725206.48</v>
      </c>
      <c r="F254" s="14"/>
      <c r="G254" s="14">
        <v>40196.79</v>
      </c>
      <c r="H254" s="52">
        <f t="shared" si="31"/>
        <v>2765403.27</v>
      </c>
      <c r="I254" s="52">
        <f t="shared" si="32"/>
        <v>2765403.27</v>
      </c>
      <c r="J254" s="83"/>
      <c r="K254" s="75"/>
      <c r="L254" s="201"/>
    </row>
    <row r="255" spans="1:12" ht="24" x14ac:dyDescent="0.2">
      <c r="A255" s="22" t="s">
        <v>68</v>
      </c>
      <c r="B255" s="103">
        <v>42704</v>
      </c>
      <c r="C255" s="104">
        <v>43435</v>
      </c>
      <c r="D255" s="194">
        <v>50</v>
      </c>
      <c r="E255" s="14"/>
      <c r="F255" s="69">
        <f>423703.39+275.28</f>
        <v>423978.67000000004</v>
      </c>
      <c r="G255" s="14">
        <f>6249.63+31580.85</f>
        <v>37830.479999999996</v>
      </c>
      <c r="H255" s="52">
        <f>E255+F255+G255</f>
        <v>461809.15</v>
      </c>
      <c r="I255" s="52">
        <f>H255</f>
        <v>461809.15</v>
      </c>
      <c r="J255" s="19"/>
      <c r="K255" s="14"/>
      <c r="L255" s="201"/>
    </row>
    <row r="256" spans="1:12" ht="24" x14ac:dyDescent="0.2">
      <c r="A256" s="22" t="s">
        <v>98</v>
      </c>
      <c r="B256" s="103">
        <v>42674</v>
      </c>
      <c r="C256" s="104">
        <v>43435</v>
      </c>
      <c r="D256" s="194">
        <v>50</v>
      </c>
      <c r="E256" s="14">
        <v>423703.39</v>
      </c>
      <c r="F256" s="14">
        <v>7372.92</v>
      </c>
      <c r="G256" s="69">
        <v>41993.58</v>
      </c>
      <c r="H256" s="52">
        <f t="shared" si="31"/>
        <v>473069.89</v>
      </c>
      <c r="I256" s="52">
        <f t="shared" ref="I256:I260" si="33">H256</f>
        <v>473069.89</v>
      </c>
      <c r="J256" s="19"/>
      <c r="K256" s="14"/>
      <c r="L256" s="201"/>
    </row>
    <row r="257" spans="1:39" ht="24" x14ac:dyDescent="0.2">
      <c r="A257" s="23" t="s">
        <v>122</v>
      </c>
      <c r="B257" s="103">
        <v>42704</v>
      </c>
      <c r="C257" s="104">
        <v>43435</v>
      </c>
      <c r="D257" s="194">
        <v>50</v>
      </c>
      <c r="E257" s="14">
        <v>423703.39</v>
      </c>
      <c r="F257" s="14">
        <v>5323.68</v>
      </c>
      <c r="G257" s="14">
        <f>6249.63+42202.92</f>
        <v>48452.549999999996</v>
      </c>
      <c r="H257" s="52">
        <f t="shared" si="31"/>
        <v>477479.62</v>
      </c>
      <c r="I257" s="52">
        <f>H257</f>
        <v>477479.62</v>
      </c>
      <c r="J257" s="19"/>
      <c r="K257" s="14"/>
      <c r="L257" s="201"/>
    </row>
    <row r="258" spans="1:39" ht="24" x14ac:dyDescent="0.2">
      <c r="A258" s="22" t="s">
        <v>99</v>
      </c>
      <c r="B258" s="103">
        <v>42674</v>
      </c>
      <c r="C258" s="104">
        <v>43435</v>
      </c>
      <c r="D258" s="194">
        <v>50</v>
      </c>
      <c r="E258" s="14">
        <v>423703.39</v>
      </c>
      <c r="F258" s="14">
        <v>11667.88</v>
      </c>
      <c r="G258" s="69">
        <v>6249.63</v>
      </c>
      <c r="H258" s="52">
        <f t="shared" si="31"/>
        <v>441620.9</v>
      </c>
      <c r="I258" s="52">
        <f t="shared" si="33"/>
        <v>441620.9</v>
      </c>
      <c r="J258" s="19"/>
      <c r="K258" s="14"/>
      <c r="L258" s="201"/>
    </row>
    <row r="259" spans="1:39" s="16" customFormat="1" ht="24" x14ac:dyDescent="0.2">
      <c r="A259" s="22" t="s">
        <v>109</v>
      </c>
      <c r="B259" s="103">
        <v>42674</v>
      </c>
      <c r="C259" s="104">
        <v>43435</v>
      </c>
      <c r="D259" s="194">
        <v>50</v>
      </c>
      <c r="E259" s="14">
        <v>508474.58</v>
      </c>
      <c r="F259" s="14">
        <v>4071.06</v>
      </c>
      <c r="G259" s="14">
        <f>9670.37+73571.95+73571.94+25684.39</f>
        <v>182498.65000000002</v>
      </c>
      <c r="H259" s="52">
        <f>F259+E259+G259</f>
        <v>695044.29</v>
      </c>
      <c r="I259" s="52">
        <f>H259</f>
        <v>695044.29</v>
      </c>
      <c r="J259" s="19"/>
      <c r="K259" s="14"/>
      <c r="L259" s="75"/>
    </row>
    <row r="260" spans="1:39" x14ac:dyDescent="0.2">
      <c r="A260" s="59" t="s">
        <v>261</v>
      </c>
      <c r="B260" s="103">
        <v>42674</v>
      </c>
      <c r="C260" s="104">
        <v>43435</v>
      </c>
      <c r="D260" s="194">
        <v>50</v>
      </c>
      <c r="E260" s="14"/>
      <c r="F260" s="14">
        <v>423703.39</v>
      </c>
      <c r="G260" s="14">
        <v>6249.63</v>
      </c>
      <c r="H260" s="52">
        <f t="shared" ref="H260" si="34">E260+F260+G260</f>
        <v>429953.02</v>
      </c>
      <c r="I260" s="52">
        <f t="shared" si="33"/>
        <v>429953.02</v>
      </c>
      <c r="J260" s="14"/>
      <c r="K260" s="14"/>
      <c r="L260" s="201"/>
    </row>
    <row r="261" spans="1:39" ht="12" customHeight="1" x14ac:dyDescent="0.2">
      <c r="A261" s="18"/>
      <c r="B261" s="103"/>
      <c r="C261" s="104"/>
      <c r="D261" s="195"/>
      <c r="E261" s="67">
        <f>SUM(E166:E260)</f>
        <v>175229726.88999993</v>
      </c>
      <c r="F261" s="67">
        <f>SUM(F166:F260)</f>
        <v>180040894.00999996</v>
      </c>
      <c r="G261" s="67">
        <f>SUM(G166:G260)</f>
        <v>39888674.439999998</v>
      </c>
      <c r="H261" s="52">
        <f>SUM(H166:H260)</f>
        <v>395159295.33999991</v>
      </c>
      <c r="I261" s="52">
        <f>H261</f>
        <v>395159295.33999991</v>
      </c>
      <c r="J261" s="19"/>
      <c r="K261" s="150"/>
      <c r="L261" s="201"/>
    </row>
    <row r="262" spans="1:39" ht="19.5" customHeight="1" x14ac:dyDescent="0.2">
      <c r="A262" s="20" t="s">
        <v>35</v>
      </c>
      <c r="B262" s="103"/>
      <c r="C262" s="104"/>
      <c r="D262" s="195"/>
      <c r="E262" s="14"/>
      <c r="F262" s="14"/>
      <c r="G262" s="14"/>
      <c r="H262" s="52"/>
      <c r="I262" s="52"/>
      <c r="J262" s="19"/>
      <c r="K262" s="14"/>
      <c r="L262" s="201"/>
    </row>
    <row r="263" spans="1:39" ht="24.75" customHeight="1" x14ac:dyDescent="0.2">
      <c r="A263" s="20" t="s">
        <v>37</v>
      </c>
      <c r="B263" s="103"/>
      <c r="C263" s="104"/>
      <c r="D263" s="195"/>
      <c r="E263" s="69"/>
      <c r="F263" s="14"/>
      <c r="G263" s="14"/>
      <c r="H263" s="52"/>
      <c r="I263" s="52"/>
      <c r="J263" s="19"/>
      <c r="K263" s="14"/>
      <c r="L263" s="201"/>
    </row>
    <row r="264" spans="1:39" ht="39" customHeight="1" x14ac:dyDescent="0.2">
      <c r="A264" s="23" t="s">
        <v>121</v>
      </c>
      <c r="B264" s="103">
        <v>42733</v>
      </c>
      <c r="C264" s="104">
        <v>43600</v>
      </c>
      <c r="D264" s="195">
        <v>70</v>
      </c>
      <c r="E264" s="69">
        <f>348823.89+736275.5+769397.6</f>
        <v>1854496.9900000002</v>
      </c>
      <c r="F264" s="14">
        <v>17053723.73</v>
      </c>
      <c r="G264" s="14">
        <f>27353.83+777280.46+4990.68+9342.42+52467.46+32846.12-769397.6</f>
        <v>134883.37</v>
      </c>
      <c r="H264" s="52">
        <f t="shared" ref="H264:H300" si="35">F264+E264+G264</f>
        <v>19043104.09</v>
      </c>
      <c r="I264" s="52">
        <f>H264</f>
        <v>19043104.09</v>
      </c>
      <c r="J264" s="14"/>
      <c r="K264" s="14"/>
      <c r="L264" s="219"/>
    </row>
    <row r="265" spans="1:39" ht="39" customHeight="1" x14ac:dyDescent="0.2">
      <c r="A265" s="23" t="s">
        <v>390</v>
      </c>
      <c r="B265" s="103">
        <v>42968</v>
      </c>
      <c r="C265" s="104">
        <v>43465</v>
      </c>
      <c r="D265" s="195">
        <v>40</v>
      </c>
      <c r="E265" s="69">
        <v>1812246.08</v>
      </c>
      <c r="F265" s="14"/>
      <c r="G265" s="14"/>
      <c r="H265" s="52">
        <f t="shared" si="35"/>
        <v>1812246.08</v>
      </c>
      <c r="I265" s="52">
        <f>H265</f>
        <v>1812246.08</v>
      </c>
      <c r="J265" s="14"/>
      <c r="K265" s="14"/>
      <c r="L265" s="219"/>
    </row>
    <row r="266" spans="1:39" ht="39" customHeight="1" x14ac:dyDescent="0.2">
      <c r="A266" s="23" t="s">
        <v>940</v>
      </c>
      <c r="B266" s="103">
        <v>43281</v>
      </c>
      <c r="C266" s="104">
        <v>43465</v>
      </c>
      <c r="D266" s="195">
        <v>20</v>
      </c>
      <c r="E266" s="69"/>
      <c r="F266" s="14"/>
      <c r="G266" s="14">
        <v>7325.22</v>
      </c>
      <c r="H266" s="52">
        <f t="shared" si="35"/>
        <v>7325.22</v>
      </c>
      <c r="I266" s="52">
        <f>H266</f>
        <v>7325.22</v>
      </c>
      <c r="J266" s="14"/>
      <c r="K266" s="14"/>
      <c r="L266" s="219"/>
    </row>
    <row r="267" spans="1:39" s="4" customFormat="1" ht="33.75" customHeight="1" x14ac:dyDescent="0.2">
      <c r="A267" s="22" t="s">
        <v>130</v>
      </c>
      <c r="B267" s="103">
        <v>42906</v>
      </c>
      <c r="C267" s="103">
        <v>43464</v>
      </c>
      <c r="D267" s="195">
        <v>40</v>
      </c>
      <c r="E267" s="14">
        <f>1189450.16+1584983.9</f>
        <v>2774434.0599999996</v>
      </c>
      <c r="F267" s="14"/>
      <c r="G267" s="69"/>
      <c r="H267" s="52">
        <f t="shared" si="35"/>
        <v>2774434.0599999996</v>
      </c>
      <c r="I267" s="52">
        <f t="shared" ref="I267:I277" si="36">H267</f>
        <v>2774434.0599999996</v>
      </c>
      <c r="J267" s="19"/>
      <c r="K267" s="86"/>
      <c r="L267" s="220"/>
    </row>
    <row r="268" spans="1:39" s="10" customFormat="1" ht="24" x14ac:dyDescent="0.2">
      <c r="A268" s="23" t="s">
        <v>120</v>
      </c>
      <c r="B268" s="103">
        <v>42717</v>
      </c>
      <c r="C268" s="103">
        <v>43465</v>
      </c>
      <c r="D268" s="194">
        <v>40</v>
      </c>
      <c r="E268" s="70">
        <v>601191.96</v>
      </c>
      <c r="F268" s="70"/>
      <c r="G268" s="14">
        <f>8867.58+10325.32</f>
        <v>19192.900000000001</v>
      </c>
      <c r="H268" s="52">
        <f t="shared" si="35"/>
        <v>620384.86</v>
      </c>
      <c r="I268" s="52">
        <f t="shared" si="36"/>
        <v>620384.86</v>
      </c>
      <c r="J268" s="31"/>
      <c r="K268" s="31"/>
      <c r="L268" s="221"/>
      <c r="M268" s="8"/>
      <c r="N268" s="8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</row>
    <row r="269" spans="1:39" s="34" customFormat="1" ht="27" customHeight="1" x14ac:dyDescent="0.2">
      <c r="A269" s="23" t="s">
        <v>56</v>
      </c>
      <c r="B269" s="103">
        <v>42585</v>
      </c>
      <c r="C269" s="104">
        <v>43312</v>
      </c>
      <c r="D269" s="194">
        <v>90</v>
      </c>
      <c r="E269" s="70">
        <f>604364.9+303357.68+428333.62</f>
        <v>1336056.2000000002</v>
      </c>
      <c r="F269" s="70">
        <v>3726483.98</v>
      </c>
      <c r="G269" s="14">
        <f>22831.83+304581+681.8+54965.64+1191.49+1204.73</f>
        <v>385456.49</v>
      </c>
      <c r="H269" s="52">
        <f t="shared" si="35"/>
        <v>5447996.6699999999</v>
      </c>
      <c r="I269" s="52">
        <f t="shared" si="36"/>
        <v>5447996.6699999999</v>
      </c>
      <c r="J269" s="31"/>
      <c r="K269" s="31"/>
      <c r="L269" s="221"/>
      <c r="M269" s="32"/>
      <c r="N269" s="32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</row>
    <row r="270" spans="1:39" s="4" customFormat="1" ht="26.25" customHeight="1" x14ac:dyDescent="0.2">
      <c r="A270" s="23" t="s">
        <v>117</v>
      </c>
      <c r="B270" s="104">
        <v>42628</v>
      </c>
      <c r="C270" s="104">
        <v>43465</v>
      </c>
      <c r="D270" s="195">
        <v>10</v>
      </c>
      <c r="E270" s="70"/>
      <c r="F270" s="14"/>
      <c r="G270" s="69">
        <v>10729.02</v>
      </c>
      <c r="H270" s="52">
        <f t="shared" si="35"/>
        <v>10729.02</v>
      </c>
      <c r="I270" s="52">
        <f t="shared" si="36"/>
        <v>10729.02</v>
      </c>
      <c r="J270" s="86"/>
      <c r="K270" s="86"/>
      <c r="L270" s="220"/>
    </row>
    <row r="271" spans="1:39" ht="24" x14ac:dyDescent="0.2">
      <c r="A271" s="23" t="s">
        <v>43</v>
      </c>
      <c r="B271" s="103">
        <v>42405</v>
      </c>
      <c r="C271" s="104">
        <v>43312</v>
      </c>
      <c r="D271" s="195">
        <v>40</v>
      </c>
      <c r="E271" s="69">
        <f>469192.63</f>
        <v>469192.63</v>
      </c>
      <c r="F271" s="14"/>
      <c r="G271" s="14">
        <f>11510.24+369016.14</f>
        <v>380526.38</v>
      </c>
      <c r="H271" s="52">
        <f t="shared" si="35"/>
        <v>849719.01</v>
      </c>
      <c r="I271" s="52">
        <f t="shared" si="36"/>
        <v>849719.01</v>
      </c>
      <c r="J271" s="14"/>
      <c r="K271" s="14"/>
      <c r="L271" s="219"/>
    </row>
    <row r="272" spans="1:39" s="4" customFormat="1" ht="26.25" customHeight="1" x14ac:dyDescent="0.2">
      <c r="A272" s="22" t="s">
        <v>131</v>
      </c>
      <c r="B272" s="104">
        <v>42906</v>
      </c>
      <c r="C272" s="103">
        <v>43465</v>
      </c>
      <c r="D272" s="195">
        <v>40</v>
      </c>
      <c r="E272" s="70">
        <f>125636.45+369197.27</f>
        <v>494833.72000000003</v>
      </c>
      <c r="F272" s="14"/>
      <c r="G272" s="69"/>
      <c r="H272" s="52">
        <f t="shared" si="35"/>
        <v>494833.72000000003</v>
      </c>
      <c r="I272" s="52">
        <f t="shared" si="36"/>
        <v>494833.72000000003</v>
      </c>
      <c r="J272" s="86"/>
      <c r="K272" s="86"/>
      <c r="L272" s="220"/>
    </row>
    <row r="273" spans="1:12" x14ac:dyDescent="0.2">
      <c r="A273" s="22" t="s">
        <v>264</v>
      </c>
      <c r="B273" s="103">
        <v>42794</v>
      </c>
      <c r="C273" s="103">
        <v>43465</v>
      </c>
      <c r="D273" s="195">
        <v>40</v>
      </c>
      <c r="E273" s="69">
        <f>119702.4+1337901.14</f>
        <v>1457603.5399999998</v>
      </c>
      <c r="F273" s="14"/>
      <c r="G273" s="14">
        <v>18556.97</v>
      </c>
      <c r="H273" s="52">
        <f t="shared" si="35"/>
        <v>1476160.5099999998</v>
      </c>
      <c r="I273" s="52">
        <f>H273</f>
        <v>1476160.5099999998</v>
      </c>
      <c r="J273" s="14"/>
      <c r="K273" s="14"/>
      <c r="L273" s="219"/>
    </row>
    <row r="274" spans="1:12" x14ac:dyDescent="0.2">
      <c r="A274" s="22" t="s">
        <v>945</v>
      </c>
      <c r="B274" s="103">
        <v>42886</v>
      </c>
      <c r="C274" s="103">
        <v>43465</v>
      </c>
      <c r="D274" s="195">
        <v>40</v>
      </c>
      <c r="E274" s="69">
        <v>723449.04</v>
      </c>
      <c r="F274" s="14">
        <f>28820.78</f>
        <v>28820.78</v>
      </c>
      <c r="G274" s="14">
        <f>9504.5+27000</f>
        <v>36504.5</v>
      </c>
      <c r="H274" s="52">
        <f t="shared" si="35"/>
        <v>788774.32000000007</v>
      </c>
      <c r="I274" s="52">
        <f>H274</f>
        <v>788774.32000000007</v>
      </c>
      <c r="J274" s="14"/>
      <c r="K274" s="14"/>
      <c r="L274" s="219"/>
    </row>
    <row r="275" spans="1:12" s="4" customFormat="1" ht="26.25" customHeight="1" x14ac:dyDescent="0.2">
      <c r="A275" s="22" t="s">
        <v>132</v>
      </c>
      <c r="B275" s="104">
        <v>42909</v>
      </c>
      <c r="C275" s="103">
        <v>43586</v>
      </c>
      <c r="D275" s="195">
        <v>90</v>
      </c>
      <c r="E275" s="70">
        <f>330369.42+373674.79</f>
        <v>704044.21</v>
      </c>
      <c r="F275" s="14">
        <v>95379.66</v>
      </c>
      <c r="G275" s="69"/>
      <c r="H275" s="52">
        <f t="shared" si="35"/>
        <v>799423.87</v>
      </c>
      <c r="I275" s="52">
        <f t="shared" si="36"/>
        <v>799423.87</v>
      </c>
      <c r="J275" s="86"/>
      <c r="K275" s="86"/>
      <c r="L275" s="220"/>
    </row>
    <row r="276" spans="1:12" s="4" customFormat="1" ht="26.25" customHeight="1" x14ac:dyDescent="0.2">
      <c r="A276" s="22" t="s">
        <v>133</v>
      </c>
      <c r="B276" s="104">
        <v>42934</v>
      </c>
      <c r="C276" s="103">
        <v>43586</v>
      </c>
      <c r="D276" s="195">
        <v>30</v>
      </c>
      <c r="E276" s="70">
        <f>6015.56+3484.6+1523.58</f>
        <v>11023.74</v>
      </c>
      <c r="F276" s="14"/>
      <c r="G276" s="69"/>
      <c r="H276" s="52">
        <f t="shared" si="35"/>
        <v>11023.74</v>
      </c>
      <c r="I276" s="52">
        <f t="shared" si="36"/>
        <v>11023.74</v>
      </c>
      <c r="J276" s="86"/>
      <c r="K276" s="86"/>
      <c r="L276" s="220"/>
    </row>
    <row r="277" spans="1:12" ht="39" customHeight="1" x14ac:dyDescent="0.2">
      <c r="A277" s="22" t="s">
        <v>126</v>
      </c>
      <c r="B277" s="103">
        <v>42837</v>
      </c>
      <c r="C277" s="104">
        <v>43313</v>
      </c>
      <c r="D277" s="195">
        <v>40</v>
      </c>
      <c r="E277" s="69">
        <f>486525.79+1040373.21</f>
        <v>1526899</v>
      </c>
      <c r="F277" s="14"/>
      <c r="G277" s="14">
        <f>22521.76+1178.09+2493.16</f>
        <v>26193.01</v>
      </c>
      <c r="H277" s="52">
        <f t="shared" si="35"/>
        <v>1553092.01</v>
      </c>
      <c r="I277" s="52">
        <f t="shared" si="36"/>
        <v>1553092.01</v>
      </c>
      <c r="J277" s="14"/>
      <c r="K277" s="14"/>
      <c r="L277" s="219"/>
    </row>
    <row r="278" spans="1:12" x14ac:dyDescent="0.2">
      <c r="A278" s="22" t="s">
        <v>125</v>
      </c>
      <c r="B278" s="103">
        <v>42807</v>
      </c>
      <c r="C278" s="104">
        <v>43312</v>
      </c>
      <c r="D278" s="195">
        <v>40</v>
      </c>
      <c r="E278" s="69">
        <f>69492.6+726324.65</f>
        <v>795817.25</v>
      </c>
      <c r="F278" s="14"/>
      <c r="G278" s="14">
        <f>10713.29+6095.26</f>
        <v>16808.550000000003</v>
      </c>
      <c r="H278" s="52">
        <f>F278+E278+G278</f>
        <v>812625.8</v>
      </c>
      <c r="I278" s="52">
        <f>H278</f>
        <v>812625.8</v>
      </c>
      <c r="J278" s="14"/>
      <c r="K278" s="14"/>
      <c r="L278" s="219"/>
    </row>
    <row r="279" spans="1:12" ht="39" customHeight="1" x14ac:dyDescent="0.2">
      <c r="A279" s="22" t="s">
        <v>134</v>
      </c>
      <c r="B279" s="103">
        <v>42928</v>
      </c>
      <c r="C279" s="103">
        <v>43586</v>
      </c>
      <c r="D279" s="195">
        <v>40</v>
      </c>
      <c r="E279" s="69">
        <f>3484.6+1523.58+453653.99</f>
        <v>458662.17</v>
      </c>
      <c r="F279" s="14"/>
      <c r="G279" s="14">
        <f>6691.4+100000</f>
        <v>106691.4</v>
      </c>
      <c r="H279" s="52">
        <f t="shared" si="35"/>
        <v>565353.56999999995</v>
      </c>
      <c r="I279" s="52">
        <f t="shared" ref="I279:I300" si="37">H279</f>
        <v>565353.56999999995</v>
      </c>
      <c r="J279" s="14"/>
      <c r="K279" s="14"/>
      <c r="L279" s="219"/>
    </row>
    <row r="280" spans="1:12" ht="16.5" customHeight="1" x14ac:dyDescent="0.2">
      <c r="A280" s="22" t="s">
        <v>391</v>
      </c>
      <c r="B280" s="103">
        <v>43038</v>
      </c>
      <c r="C280" s="103">
        <v>43768</v>
      </c>
      <c r="D280" s="195">
        <v>40</v>
      </c>
      <c r="E280" s="69">
        <f>853672.76+133500</f>
        <v>987172.76</v>
      </c>
      <c r="F280" s="14"/>
      <c r="G280" s="14">
        <f>18125.37</f>
        <v>18125.37</v>
      </c>
      <c r="H280" s="52">
        <f>E280+G280</f>
        <v>1005298.13</v>
      </c>
      <c r="I280" s="52">
        <f t="shared" si="37"/>
        <v>1005298.13</v>
      </c>
      <c r="J280" s="14"/>
      <c r="K280" s="14"/>
      <c r="L280" s="219"/>
    </row>
    <row r="281" spans="1:12" ht="16.5" customHeight="1" x14ac:dyDescent="0.2">
      <c r="A281" s="22" t="s">
        <v>392</v>
      </c>
      <c r="B281" s="103">
        <v>43003</v>
      </c>
      <c r="C281" s="103">
        <v>43733</v>
      </c>
      <c r="D281" s="195">
        <v>40</v>
      </c>
      <c r="E281" s="69">
        <v>597198</v>
      </c>
      <c r="F281" s="14"/>
      <c r="G281" s="14">
        <v>68895.25</v>
      </c>
      <c r="H281" s="52">
        <f t="shared" si="35"/>
        <v>666093.25</v>
      </c>
      <c r="I281" s="52">
        <f t="shared" si="37"/>
        <v>666093.25</v>
      </c>
      <c r="J281" s="14"/>
      <c r="K281" s="14"/>
      <c r="L281" s="219"/>
    </row>
    <row r="282" spans="1:12" ht="39" customHeight="1" x14ac:dyDescent="0.2">
      <c r="A282" s="22" t="s">
        <v>135</v>
      </c>
      <c r="B282" s="103">
        <v>42853</v>
      </c>
      <c r="C282" s="103">
        <v>43465</v>
      </c>
      <c r="D282" s="195">
        <v>40</v>
      </c>
      <c r="E282" s="69"/>
      <c r="F282" s="14"/>
      <c r="G282" s="14">
        <v>9997.73</v>
      </c>
      <c r="H282" s="52">
        <f t="shared" si="35"/>
        <v>9997.73</v>
      </c>
      <c r="I282" s="52">
        <f t="shared" si="37"/>
        <v>9997.73</v>
      </c>
      <c r="J282" s="14"/>
      <c r="K282" s="14"/>
      <c r="L282" s="219"/>
    </row>
    <row r="283" spans="1:12" ht="18" customHeight="1" x14ac:dyDescent="0.2">
      <c r="A283" s="22" t="s">
        <v>941</v>
      </c>
      <c r="B283" s="103">
        <v>43281</v>
      </c>
      <c r="C283" s="103">
        <v>43860</v>
      </c>
      <c r="D283" s="195">
        <v>10</v>
      </c>
      <c r="E283" s="69"/>
      <c r="F283" s="14"/>
      <c r="G283" s="14">
        <v>8331.9699999999993</v>
      </c>
      <c r="H283" s="52">
        <f t="shared" si="35"/>
        <v>8331.9699999999993</v>
      </c>
      <c r="I283" s="52">
        <f t="shared" si="37"/>
        <v>8331.9699999999993</v>
      </c>
      <c r="J283" s="14"/>
      <c r="K283" s="14"/>
      <c r="L283" s="219"/>
    </row>
    <row r="284" spans="1:12" ht="39" customHeight="1" x14ac:dyDescent="0.2">
      <c r="A284" s="22" t="s">
        <v>393</v>
      </c>
      <c r="B284" s="103">
        <v>43052</v>
      </c>
      <c r="C284" s="104">
        <v>43312</v>
      </c>
      <c r="D284" s="195">
        <v>90</v>
      </c>
      <c r="E284" s="14">
        <v>564879.5</v>
      </c>
      <c r="F284" s="14">
        <v>2343533.9</v>
      </c>
      <c r="G284" s="14"/>
      <c r="H284" s="52">
        <f>E284+F284</f>
        <v>2908413.4</v>
      </c>
      <c r="I284" s="52">
        <f t="shared" si="37"/>
        <v>2908413.4</v>
      </c>
      <c r="J284" s="14"/>
      <c r="K284" s="14"/>
      <c r="L284" s="219"/>
    </row>
    <row r="285" spans="1:12" ht="21" customHeight="1" x14ac:dyDescent="0.2">
      <c r="A285" s="22" t="s">
        <v>394</v>
      </c>
      <c r="B285" s="103">
        <v>43116</v>
      </c>
      <c r="C285" s="103">
        <v>43846</v>
      </c>
      <c r="D285" s="195">
        <v>40</v>
      </c>
      <c r="E285" s="69">
        <v>181409.39</v>
      </c>
      <c r="F285" s="14"/>
      <c r="G285" s="14">
        <f>333464.63+3719.64</f>
        <v>337184.27</v>
      </c>
      <c r="H285" s="52">
        <f t="shared" si="35"/>
        <v>518593.66000000003</v>
      </c>
      <c r="I285" s="52">
        <f t="shared" si="37"/>
        <v>518593.66000000003</v>
      </c>
      <c r="J285" s="14"/>
      <c r="K285" s="14"/>
      <c r="L285" s="219"/>
    </row>
    <row r="286" spans="1:12" ht="20.25" customHeight="1" x14ac:dyDescent="0.2">
      <c r="A286" s="22" t="s">
        <v>136</v>
      </c>
      <c r="B286" s="103">
        <v>42923</v>
      </c>
      <c r="C286" s="103">
        <v>43586</v>
      </c>
      <c r="D286" s="195">
        <v>40</v>
      </c>
      <c r="E286" s="69">
        <f>1605283.42+1165667.9</f>
        <v>2770951.32</v>
      </c>
      <c r="F286" s="14"/>
      <c r="G286" s="14">
        <f>40871.53+1015.05</f>
        <v>41886.58</v>
      </c>
      <c r="H286" s="52">
        <f t="shared" si="35"/>
        <v>2812837.9</v>
      </c>
      <c r="I286" s="52">
        <f t="shared" si="37"/>
        <v>2812837.9</v>
      </c>
      <c r="J286" s="14"/>
      <c r="K286" s="14"/>
      <c r="L286" s="219"/>
    </row>
    <row r="287" spans="1:12" ht="26.25" customHeight="1" x14ac:dyDescent="0.2">
      <c r="A287" s="22" t="s">
        <v>137</v>
      </c>
      <c r="B287" s="103">
        <v>42906</v>
      </c>
      <c r="C287" s="103">
        <v>43556</v>
      </c>
      <c r="D287" s="194">
        <v>40</v>
      </c>
      <c r="E287" s="14">
        <v>542253.6</v>
      </c>
      <c r="F287" s="14"/>
      <c r="G287" s="14">
        <v>7998.24</v>
      </c>
      <c r="H287" s="52">
        <f t="shared" si="35"/>
        <v>550251.84</v>
      </c>
      <c r="I287" s="52">
        <f t="shared" si="37"/>
        <v>550251.84</v>
      </c>
      <c r="J287" s="81"/>
      <c r="K287" s="149"/>
      <c r="L287" s="219"/>
    </row>
    <row r="288" spans="1:12" ht="26.25" customHeight="1" x14ac:dyDescent="0.2">
      <c r="A288" s="22" t="s">
        <v>942</v>
      </c>
      <c r="B288" s="103">
        <v>43277</v>
      </c>
      <c r="C288" s="103">
        <v>43754</v>
      </c>
      <c r="D288" s="194">
        <v>40</v>
      </c>
      <c r="E288" s="14">
        <v>652820.57999999996</v>
      </c>
      <c r="F288" s="14"/>
      <c r="G288" s="14"/>
      <c r="H288" s="52">
        <f t="shared" si="35"/>
        <v>652820.57999999996</v>
      </c>
      <c r="I288" s="52">
        <f t="shared" si="37"/>
        <v>652820.57999999996</v>
      </c>
      <c r="J288" s="81"/>
      <c r="K288" s="149"/>
      <c r="L288" s="219"/>
    </row>
    <row r="289" spans="1:36" ht="26.25" customHeight="1" x14ac:dyDescent="0.2">
      <c r="A289" s="22" t="s">
        <v>943</v>
      </c>
      <c r="B289" s="103">
        <v>43215</v>
      </c>
      <c r="C289" s="103">
        <v>43828</v>
      </c>
      <c r="D289" s="194">
        <v>40</v>
      </c>
      <c r="E289" s="14">
        <v>497521.06</v>
      </c>
      <c r="F289" s="14">
        <v>38153.589999999997</v>
      </c>
      <c r="G289" s="14"/>
      <c r="H289" s="52">
        <f t="shared" si="35"/>
        <v>535674.65</v>
      </c>
      <c r="I289" s="52">
        <f t="shared" si="37"/>
        <v>535674.65</v>
      </c>
      <c r="J289" s="81"/>
      <c r="K289" s="149"/>
      <c r="L289" s="219"/>
    </row>
    <row r="290" spans="1:36" ht="26.25" customHeight="1" x14ac:dyDescent="0.2">
      <c r="A290" s="22" t="s">
        <v>357</v>
      </c>
      <c r="B290" s="103">
        <v>42858</v>
      </c>
      <c r="C290" s="104">
        <v>43312</v>
      </c>
      <c r="D290" s="194">
        <v>90</v>
      </c>
      <c r="E290" s="14">
        <v>696200.96</v>
      </c>
      <c r="F290" s="14">
        <v>251807.46</v>
      </c>
      <c r="G290" s="14">
        <f>294.23+905.43+915.49</f>
        <v>2115.1499999999996</v>
      </c>
      <c r="H290" s="52">
        <f t="shared" si="35"/>
        <v>950123.57</v>
      </c>
      <c r="I290" s="52">
        <f t="shared" si="37"/>
        <v>950123.57</v>
      </c>
      <c r="J290" s="81"/>
      <c r="K290" s="149"/>
      <c r="L290" s="219"/>
    </row>
    <row r="291" spans="1:36" ht="26.25" customHeight="1" x14ac:dyDescent="0.2">
      <c r="A291" s="22" t="s">
        <v>944</v>
      </c>
      <c r="B291" s="103">
        <v>43281</v>
      </c>
      <c r="C291" s="103">
        <v>43956</v>
      </c>
      <c r="D291" s="194">
        <v>10</v>
      </c>
      <c r="E291" s="14"/>
      <c r="F291" s="14"/>
      <c r="G291" s="14">
        <v>6090.61</v>
      </c>
      <c r="H291" s="52">
        <f t="shared" si="35"/>
        <v>6090.61</v>
      </c>
      <c r="I291" s="52">
        <f t="shared" si="37"/>
        <v>6090.61</v>
      </c>
      <c r="J291" s="81"/>
      <c r="K291" s="149"/>
      <c r="L291" s="219"/>
    </row>
    <row r="292" spans="1:36" ht="21.75" customHeight="1" x14ac:dyDescent="0.2">
      <c r="A292" s="22" t="s">
        <v>395</v>
      </c>
      <c r="B292" s="103">
        <v>43041</v>
      </c>
      <c r="C292" s="104">
        <v>43771</v>
      </c>
      <c r="D292" s="195">
        <v>30</v>
      </c>
      <c r="E292" s="69"/>
      <c r="F292" s="14"/>
      <c r="G292" s="14">
        <v>7149.03</v>
      </c>
      <c r="H292" s="52">
        <f t="shared" si="35"/>
        <v>7149.03</v>
      </c>
      <c r="I292" s="52">
        <f t="shared" si="37"/>
        <v>7149.03</v>
      </c>
      <c r="J292" s="14"/>
      <c r="K292" s="14"/>
      <c r="L292" s="219"/>
    </row>
    <row r="293" spans="1:36" ht="39" customHeight="1" x14ac:dyDescent="0.2">
      <c r="A293" s="22" t="s">
        <v>396</v>
      </c>
      <c r="B293" s="103">
        <v>42979</v>
      </c>
      <c r="C293" s="104">
        <v>43709</v>
      </c>
      <c r="D293" s="195">
        <v>40</v>
      </c>
      <c r="E293" s="69">
        <f>336309.62+316710.38</f>
        <v>653020</v>
      </c>
      <c r="F293" s="70"/>
      <c r="G293" s="14">
        <f>12545.77</f>
        <v>12545.77</v>
      </c>
      <c r="H293" s="52">
        <f>E293+G293</f>
        <v>665565.77</v>
      </c>
      <c r="I293" s="52">
        <f t="shared" si="37"/>
        <v>665565.77</v>
      </c>
      <c r="J293" s="14"/>
      <c r="K293" s="14"/>
      <c r="L293" s="219"/>
    </row>
    <row r="294" spans="1:36" ht="39" customHeight="1" x14ac:dyDescent="0.2">
      <c r="A294" s="22" t="s">
        <v>397</v>
      </c>
      <c r="B294" s="103">
        <v>42912</v>
      </c>
      <c r="C294" s="104">
        <v>43586</v>
      </c>
      <c r="D294" s="195">
        <v>30</v>
      </c>
      <c r="E294" s="14">
        <v>282000.7</v>
      </c>
      <c r="F294" s="70"/>
      <c r="G294" s="14"/>
      <c r="H294" s="52">
        <f>E294</f>
        <v>282000.7</v>
      </c>
      <c r="I294" s="52">
        <f t="shared" si="37"/>
        <v>282000.7</v>
      </c>
      <c r="J294" s="14"/>
      <c r="K294" s="14"/>
      <c r="L294" s="219"/>
    </row>
    <row r="295" spans="1:36" ht="39" customHeight="1" x14ac:dyDescent="0.2">
      <c r="A295" s="22" t="s">
        <v>398</v>
      </c>
      <c r="B295" s="103">
        <v>43017</v>
      </c>
      <c r="C295" s="104">
        <v>43312</v>
      </c>
      <c r="D295" s="195">
        <v>40</v>
      </c>
      <c r="E295" s="69">
        <v>1111463.6399999999</v>
      </c>
      <c r="F295" s="14"/>
      <c r="G295" s="14"/>
      <c r="H295" s="52">
        <f t="shared" si="35"/>
        <v>1111463.6399999999</v>
      </c>
      <c r="I295" s="52">
        <f t="shared" si="37"/>
        <v>1111463.6399999999</v>
      </c>
      <c r="J295" s="14"/>
      <c r="K295" s="14"/>
      <c r="L295" s="219"/>
    </row>
    <row r="296" spans="1:36" s="4" customFormat="1" ht="24.75" customHeight="1" x14ac:dyDescent="0.2">
      <c r="A296" s="23" t="s">
        <v>358</v>
      </c>
      <c r="B296" s="103">
        <v>42710</v>
      </c>
      <c r="C296" s="104">
        <v>43405</v>
      </c>
      <c r="D296" s="195">
        <v>40</v>
      </c>
      <c r="E296" s="14">
        <f>47000+231009.77+609298.02</f>
        <v>887307.79</v>
      </c>
      <c r="F296" s="70"/>
      <c r="G296" s="87"/>
      <c r="H296" s="52">
        <f>E296</f>
        <v>887307.79</v>
      </c>
      <c r="I296" s="52">
        <f t="shared" si="37"/>
        <v>887307.79</v>
      </c>
      <c r="J296" s="86"/>
      <c r="K296" s="86"/>
      <c r="L296" s="220"/>
    </row>
    <row r="297" spans="1:36" s="4" customFormat="1" ht="24.75" customHeight="1" x14ac:dyDescent="0.2">
      <c r="A297" s="23" t="s">
        <v>399</v>
      </c>
      <c r="B297" s="103">
        <v>42912</v>
      </c>
      <c r="C297" s="104">
        <v>43647</v>
      </c>
      <c r="D297" s="195">
        <v>30</v>
      </c>
      <c r="E297" s="14"/>
      <c r="F297" s="70"/>
      <c r="G297" s="69">
        <v>34177.870000000003</v>
      </c>
      <c r="H297" s="52">
        <f t="shared" si="35"/>
        <v>34177.870000000003</v>
      </c>
      <c r="I297" s="52">
        <f t="shared" si="37"/>
        <v>34177.870000000003</v>
      </c>
      <c r="J297" s="86"/>
      <c r="K297" s="86"/>
      <c r="L297" s="220"/>
    </row>
    <row r="298" spans="1:36" s="4" customFormat="1" ht="24.75" customHeight="1" x14ac:dyDescent="0.2">
      <c r="A298" s="23" t="s">
        <v>952</v>
      </c>
      <c r="B298" s="103">
        <v>42837</v>
      </c>
      <c r="C298" s="104">
        <v>43221</v>
      </c>
      <c r="D298" s="195">
        <v>40</v>
      </c>
      <c r="E298" s="14">
        <v>432362.83</v>
      </c>
      <c r="F298" s="70"/>
      <c r="G298" s="69">
        <f>6377.35+21.44+96.48+96.55</f>
        <v>6591.82</v>
      </c>
      <c r="H298" s="52">
        <f>E298+G298</f>
        <v>438954.65</v>
      </c>
      <c r="I298" s="52">
        <f t="shared" si="37"/>
        <v>438954.65</v>
      </c>
      <c r="J298" s="86"/>
      <c r="K298" s="86"/>
      <c r="L298" s="220"/>
    </row>
    <row r="299" spans="1:36" ht="39" customHeight="1" x14ac:dyDescent="0.2">
      <c r="A299" s="23" t="s">
        <v>40</v>
      </c>
      <c r="B299" s="103">
        <v>42331</v>
      </c>
      <c r="C299" s="104">
        <v>43647</v>
      </c>
      <c r="D299" s="195">
        <v>40</v>
      </c>
      <c r="E299" s="69">
        <v>424486.65</v>
      </c>
      <c r="F299" s="14"/>
      <c r="G299" s="14">
        <f>10115.77+93490+80000</f>
        <v>183605.77000000002</v>
      </c>
      <c r="H299" s="52">
        <f t="shared" si="35"/>
        <v>608092.42000000004</v>
      </c>
      <c r="I299" s="52">
        <f t="shared" si="37"/>
        <v>608092.42000000004</v>
      </c>
      <c r="J299" s="14"/>
      <c r="K299" s="14"/>
      <c r="L299" s="219"/>
    </row>
    <row r="300" spans="1:36" ht="33" customHeight="1" x14ac:dyDescent="0.2">
      <c r="A300" s="23" t="s">
        <v>41</v>
      </c>
      <c r="B300" s="103">
        <v>42289</v>
      </c>
      <c r="C300" s="104">
        <v>43282</v>
      </c>
      <c r="D300" s="194">
        <v>100</v>
      </c>
      <c r="E300" s="14">
        <v>309500</v>
      </c>
      <c r="F300" s="14"/>
      <c r="G300" s="14"/>
      <c r="H300" s="52">
        <f t="shared" si="35"/>
        <v>309500</v>
      </c>
      <c r="I300" s="52">
        <f t="shared" si="37"/>
        <v>309500</v>
      </c>
      <c r="J300" s="14"/>
      <c r="K300" s="43"/>
      <c r="L300" s="219"/>
    </row>
    <row r="301" spans="1:36" s="4" customFormat="1" ht="15.75" customHeight="1" x14ac:dyDescent="0.2">
      <c r="A301" s="22"/>
      <c r="B301" s="103"/>
      <c r="C301" s="103"/>
      <c r="D301" s="195"/>
      <c r="E301" s="67">
        <f>SUM(E264:E300)</f>
        <v>26610499.369999997</v>
      </c>
      <c r="F301" s="67">
        <f>SUM(F264:F300)</f>
        <v>23537903.100000001</v>
      </c>
      <c r="G301" s="67">
        <f>SUM(G264:G300)</f>
        <v>1887563.2400000005</v>
      </c>
      <c r="H301" s="52">
        <f>SUM(H264:H300)</f>
        <v>52035965.709999986</v>
      </c>
      <c r="I301" s="52">
        <f t="shared" ref="I301" si="38">H301</f>
        <v>52035965.709999986</v>
      </c>
      <c r="J301" s="86"/>
      <c r="K301" s="86"/>
      <c r="L301" s="215"/>
    </row>
    <row r="302" spans="1:36" ht="24.75" customHeight="1" x14ac:dyDescent="0.2">
      <c r="A302" s="20" t="s">
        <v>28</v>
      </c>
      <c r="B302" s="103"/>
      <c r="C302" s="103"/>
      <c r="D302" s="194"/>
      <c r="E302" s="14"/>
      <c r="F302" s="14"/>
      <c r="G302" s="14"/>
      <c r="H302" s="58"/>
      <c r="I302" s="58"/>
      <c r="J302" s="83"/>
      <c r="K302" s="75"/>
      <c r="L302" s="201"/>
    </row>
    <row r="303" spans="1:36" s="4" customFormat="1" ht="24" customHeight="1" x14ac:dyDescent="0.2">
      <c r="A303" s="24" t="s">
        <v>175</v>
      </c>
      <c r="B303" s="103"/>
      <c r="C303" s="104"/>
      <c r="D303" s="195"/>
      <c r="E303" s="71"/>
      <c r="F303" s="71"/>
      <c r="G303" s="14"/>
      <c r="H303" s="37"/>
      <c r="I303" s="52"/>
      <c r="J303" s="88"/>
      <c r="K303" s="88"/>
      <c r="L303" s="215"/>
    </row>
    <row r="304" spans="1:36" s="3" customFormat="1" ht="24" outlineLevel="1" x14ac:dyDescent="0.2">
      <c r="A304" s="51" t="s">
        <v>953</v>
      </c>
      <c r="B304" s="114">
        <v>43218</v>
      </c>
      <c r="C304" s="107">
        <v>43465</v>
      </c>
      <c r="D304" s="108">
        <v>20</v>
      </c>
      <c r="E304" s="14"/>
      <c r="F304" s="14">
        <f>I304</f>
        <v>34120.980000000003</v>
      </c>
      <c r="G304" s="14"/>
      <c r="H304" s="58">
        <f>E304+F304</f>
        <v>34120.980000000003</v>
      </c>
      <c r="I304" s="126">
        <v>34120.980000000003</v>
      </c>
      <c r="J304" s="151"/>
      <c r="K304" s="75"/>
      <c r="L304" s="20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s="4" customFormat="1" ht="24" customHeight="1" outlineLevel="1" x14ac:dyDescent="0.2">
      <c r="A305" s="51" t="s">
        <v>954</v>
      </c>
      <c r="B305" s="114">
        <v>43251</v>
      </c>
      <c r="C305" s="110">
        <v>43404</v>
      </c>
      <c r="D305" s="108">
        <v>40</v>
      </c>
      <c r="E305" s="14"/>
      <c r="F305" s="14">
        <f t="shared" ref="F305:F337" si="39">I305</f>
        <v>3943.64</v>
      </c>
      <c r="G305" s="14"/>
      <c r="H305" s="58">
        <f t="shared" ref="H305:H337" si="40">E305+F305</f>
        <v>3943.64</v>
      </c>
      <c r="I305" s="126">
        <v>3943.64</v>
      </c>
      <c r="J305" s="151"/>
      <c r="K305" s="75"/>
      <c r="L305" s="215"/>
    </row>
    <row r="306" spans="1:36" s="27" customFormat="1" ht="26.25" customHeight="1" outlineLevel="1" x14ac:dyDescent="0.2">
      <c r="A306" s="51" t="s">
        <v>400</v>
      </c>
      <c r="B306" s="114">
        <v>43159</v>
      </c>
      <c r="C306" s="107">
        <v>43465</v>
      </c>
      <c r="D306" s="108">
        <v>20</v>
      </c>
      <c r="E306" s="14"/>
      <c r="F306" s="14">
        <f t="shared" si="39"/>
        <v>57073.93</v>
      </c>
      <c r="G306" s="14"/>
      <c r="H306" s="58">
        <f t="shared" si="40"/>
        <v>57073.93</v>
      </c>
      <c r="I306" s="126">
        <v>57073.93</v>
      </c>
      <c r="J306" s="151"/>
      <c r="K306" s="75"/>
      <c r="L306" s="204"/>
    </row>
    <row r="307" spans="1:36" s="27" customFormat="1" ht="25.5" customHeight="1" outlineLevel="1" x14ac:dyDescent="0.2">
      <c r="A307" s="51" t="s">
        <v>955</v>
      </c>
      <c r="B307" s="114">
        <v>43280</v>
      </c>
      <c r="C307" s="107">
        <v>43404</v>
      </c>
      <c r="D307" s="108">
        <v>40</v>
      </c>
      <c r="E307" s="14"/>
      <c r="F307" s="14">
        <f t="shared" si="39"/>
        <v>6503.51</v>
      </c>
      <c r="G307" s="14"/>
      <c r="H307" s="58">
        <f t="shared" si="40"/>
        <v>6503.51</v>
      </c>
      <c r="I307" s="126">
        <v>6503.51</v>
      </c>
      <c r="J307" s="151"/>
      <c r="K307" s="75"/>
      <c r="L307" s="204"/>
    </row>
    <row r="308" spans="1:36" s="3" customFormat="1" ht="24" outlineLevel="1" x14ac:dyDescent="0.2">
      <c r="A308" s="51" t="s">
        <v>401</v>
      </c>
      <c r="B308" s="114">
        <v>43151</v>
      </c>
      <c r="C308" s="107">
        <v>43465</v>
      </c>
      <c r="D308" s="108">
        <v>20</v>
      </c>
      <c r="E308" s="14"/>
      <c r="F308" s="14">
        <f t="shared" si="39"/>
        <v>45000</v>
      </c>
      <c r="G308" s="14"/>
      <c r="H308" s="58">
        <f t="shared" si="40"/>
        <v>45000</v>
      </c>
      <c r="I308" s="126">
        <v>45000</v>
      </c>
      <c r="J308" s="151"/>
      <c r="K308" s="75"/>
      <c r="L308" s="20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s="3" customFormat="1" ht="24" outlineLevel="1" x14ac:dyDescent="0.2">
      <c r="A309" s="51" t="s">
        <v>956</v>
      </c>
      <c r="B309" s="114">
        <v>43251</v>
      </c>
      <c r="C309" s="107">
        <v>43371</v>
      </c>
      <c r="D309" s="108">
        <v>70</v>
      </c>
      <c r="E309" s="14"/>
      <c r="F309" s="14">
        <f t="shared" si="39"/>
        <v>7929.94</v>
      </c>
      <c r="G309" s="14"/>
      <c r="H309" s="58">
        <f t="shared" si="40"/>
        <v>7929.94</v>
      </c>
      <c r="I309" s="126">
        <v>7929.94</v>
      </c>
      <c r="J309" s="151"/>
      <c r="K309" s="75"/>
      <c r="L309" s="20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s="3" customFormat="1" ht="24" outlineLevel="1" x14ac:dyDescent="0.2">
      <c r="A310" s="51" t="s">
        <v>402</v>
      </c>
      <c r="B310" s="114">
        <v>43159</v>
      </c>
      <c r="C310" s="107">
        <v>43404</v>
      </c>
      <c r="D310" s="108">
        <v>50</v>
      </c>
      <c r="E310" s="14"/>
      <c r="F310" s="14">
        <f t="shared" si="39"/>
        <v>9763.2099999999991</v>
      </c>
      <c r="G310" s="14"/>
      <c r="H310" s="58">
        <f>E310+F310</f>
        <v>9763.2099999999991</v>
      </c>
      <c r="I310" s="126">
        <v>9763.2099999999991</v>
      </c>
      <c r="J310" s="151"/>
      <c r="K310" s="75"/>
      <c r="L310" s="20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s="27" customFormat="1" ht="25.5" customHeight="1" outlineLevel="1" x14ac:dyDescent="0.2">
      <c r="A311" s="51" t="s">
        <v>403</v>
      </c>
      <c r="B311" s="114">
        <v>43131</v>
      </c>
      <c r="C311" s="107">
        <v>43434</v>
      </c>
      <c r="D311" s="108">
        <v>60</v>
      </c>
      <c r="E311" s="14"/>
      <c r="F311" s="14">
        <f t="shared" si="39"/>
        <v>9239.42</v>
      </c>
      <c r="G311" s="14"/>
      <c r="H311" s="58">
        <f t="shared" si="40"/>
        <v>9239.42</v>
      </c>
      <c r="I311" s="126">
        <v>9239.42</v>
      </c>
      <c r="J311" s="151"/>
      <c r="K311" s="75"/>
      <c r="L311" s="204"/>
    </row>
    <row r="312" spans="1:36" s="4" customFormat="1" ht="28.5" customHeight="1" outlineLevel="1" x14ac:dyDescent="0.2">
      <c r="A312" s="51" t="s">
        <v>957</v>
      </c>
      <c r="B312" s="114">
        <v>43251</v>
      </c>
      <c r="C312" s="107">
        <v>43465</v>
      </c>
      <c r="D312" s="108">
        <v>30</v>
      </c>
      <c r="E312" s="14"/>
      <c r="F312" s="14">
        <f t="shared" si="39"/>
        <v>4361.21</v>
      </c>
      <c r="G312" s="14"/>
      <c r="H312" s="58">
        <f t="shared" si="40"/>
        <v>4361.21</v>
      </c>
      <c r="I312" s="126">
        <v>4361.21</v>
      </c>
      <c r="J312" s="151"/>
      <c r="K312" s="75"/>
      <c r="L312" s="215"/>
    </row>
    <row r="313" spans="1:36" s="4" customFormat="1" ht="28.5" customHeight="1" outlineLevel="1" x14ac:dyDescent="0.2">
      <c r="A313" s="51" t="s">
        <v>958</v>
      </c>
      <c r="B313" s="114">
        <v>43251</v>
      </c>
      <c r="C313" s="107">
        <v>43434</v>
      </c>
      <c r="D313" s="108">
        <v>70</v>
      </c>
      <c r="E313" s="14"/>
      <c r="F313" s="14">
        <f t="shared" si="39"/>
        <v>5905.69</v>
      </c>
      <c r="G313" s="14"/>
      <c r="H313" s="58">
        <f t="shared" si="40"/>
        <v>5905.69</v>
      </c>
      <c r="I313" s="126">
        <v>5905.69</v>
      </c>
      <c r="J313" s="151"/>
      <c r="K313" s="75"/>
      <c r="L313" s="215"/>
    </row>
    <row r="314" spans="1:36" s="4" customFormat="1" ht="26.25" customHeight="1" outlineLevel="1" x14ac:dyDescent="0.2">
      <c r="A314" s="51" t="s">
        <v>959</v>
      </c>
      <c r="B314" s="114">
        <v>43251</v>
      </c>
      <c r="C314" s="107">
        <v>43465</v>
      </c>
      <c r="D314" s="108">
        <v>20</v>
      </c>
      <c r="E314" s="14"/>
      <c r="F314" s="14">
        <f t="shared" si="39"/>
        <v>7469.24</v>
      </c>
      <c r="G314" s="14"/>
      <c r="H314" s="58">
        <f>E314+F314</f>
        <v>7469.24</v>
      </c>
      <c r="I314" s="126">
        <v>7469.24</v>
      </c>
      <c r="J314" s="151"/>
      <c r="K314" s="75"/>
      <c r="L314" s="215"/>
    </row>
    <row r="315" spans="1:36" s="4" customFormat="1" ht="26.25" customHeight="1" outlineLevel="1" x14ac:dyDescent="0.2">
      <c r="A315" s="51" t="s">
        <v>404</v>
      </c>
      <c r="B315" s="114">
        <v>43189</v>
      </c>
      <c r="C315" s="107">
        <v>43465</v>
      </c>
      <c r="D315" s="108">
        <v>30</v>
      </c>
      <c r="E315" s="14"/>
      <c r="F315" s="14">
        <f t="shared" si="39"/>
        <v>23009.39</v>
      </c>
      <c r="G315" s="14"/>
      <c r="H315" s="58">
        <f t="shared" si="40"/>
        <v>23009.39</v>
      </c>
      <c r="I315" s="126">
        <v>23009.39</v>
      </c>
      <c r="J315" s="151"/>
      <c r="K315" s="75"/>
      <c r="L315" s="215"/>
    </row>
    <row r="316" spans="1:36" s="4" customFormat="1" ht="26.25" customHeight="1" outlineLevel="1" x14ac:dyDescent="0.2">
      <c r="A316" s="51" t="s">
        <v>405</v>
      </c>
      <c r="B316" s="114">
        <v>43189</v>
      </c>
      <c r="C316" s="107">
        <v>43465</v>
      </c>
      <c r="D316" s="108">
        <v>40</v>
      </c>
      <c r="E316" s="14"/>
      <c r="F316" s="14">
        <f t="shared" si="39"/>
        <v>8919.65</v>
      </c>
      <c r="G316" s="14"/>
      <c r="H316" s="58">
        <f t="shared" si="40"/>
        <v>8919.65</v>
      </c>
      <c r="I316" s="126">
        <v>8919.65</v>
      </c>
      <c r="J316" s="151"/>
      <c r="K316" s="75"/>
      <c r="L316" s="215"/>
    </row>
    <row r="317" spans="1:36" s="4" customFormat="1" ht="28.5" customHeight="1" outlineLevel="1" x14ac:dyDescent="0.2">
      <c r="A317" s="51" t="s">
        <v>960</v>
      </c>
      <c r="B317" s="114">
        <v>43251</v>
      </c>
      <c r="C317" s="107">
        <v>43343</v>
      </c>
      <c r="D317" s="108">
        <v>60</v>
      </c>
      <c r="E317" s="14"/>
      <c r="F317" s="14">
        <f t="shared" si="39"/>
        <v>8528.64</v>
      </c>
      <c r="G317" s="14"/>
      <c r="H317" s="58">
        <f t="shared" si="40"/>
        <v>8528.64</v>
      </c>
      <c r="I317" s="126">
        <v>8528.64</v>
      </c>
      <c r="J317" s="151"/>
      <c r="K317" s="75"/>
      <c r="L317" s="215"/>
    </row>
    <row r="318" spans="1:36" s="13" customFormat="1" ht="24" outlineLevel="1" x14ac:dyDescent="0.2">
      <c r="A318" s="51" t="s">
        <v>406</v>
      </c>
      <c r="B318" s="114">
        <v>43159</v>
      </c>
      <c r="C318" s="107">
        <v>43371</v>
      </c>
      <c r="D318" s="108">
        <v>60</v>
      </c>
      <c r="E318" s="14"/>
      <c r="F318" s="14">
        <f t="shared" si="39"/>
        <v>4656.24</v>
      </c>
      <c r="G318" s="14"/>
      <c r="H318" s="58">
        <f>E318+F318</f>
        <v>4656.24</v>
      </c>
      <c r="I318" s="126">
        <v>4656.24</v>
      </c>
      <c r="J318" s="151"/>
      <c r="K318" s="75"/>
      <c r="L318" s="205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s="27" customFormat="1" ht="27.75" customHeight="1" outlineLevel="1" x14ac:dyDescent="0.2">
      <c r="A319" s="51" t="s">
        <v>961</v>
      </c>
      <c r="B319" s="114">
        <v>43280</v>
      </c>
      <c r="C319" s="107">
        <v>43465</v>
      </c>
      <c r="D319" s="108">
        <v>20</v>
      </c>
      <c r="E319" s="14"/>
      <c r="F319" s="14">
        <f t="shared" si="39"/>
        <v>6134.12</v>
      </c>
      <c r="G319" s="14"/>
      <c r="H319" s="58">
        <f t="shared" si="40"/>
        <v>6134.12</v>
      </c>
      <c r="I319" s="126">
        <v>6134.12</v>
      </c>
      <c r="J319" s="151"/>
      <c r="K319" s="75"/>
      <c r="L319" s="204"/>
    </row>
    <row r="320" spans="1:36" s="4" customFormat="1" ht="28.5" customHeight="1" outlineLevel="1" x14ac:dyDescent="0.2">
      <c r="A320" s="51" t="s">
        <v>962</v>
      </c>
      <c r="B320" s="114">
        <v>43280</v>
      </c>
      <c r="C320" s="107">
        <v>43404</v>
      </c>
      <c r="D320" s="108">
        <v>40</v>
      </c>
      <c r="E320" s="14"/>
      <c r="F320" s="14">
        <f t="shared" si="39"/>
        <v>5169.2</v>
      </c>
      <c r="G320" s="14"/>
      <c r="H320" s="58">
        <f t="shared" si="40"/>
        <v>5169.2</v>
      </c>
      <c r="I320" s="126">
        <v>5169.2</v>
      </c>
      <c r="J320" s="151"/>
      <c r="K320" s="75"/>
      <c r="L320" s="215"/>
    </row>
    <row r="321" spans="1:36" s="4" customFormat="1" ht="26.25" customHeight="1" outlineLevel="1" x14ac:dyDescent="0.2">
      <c r="A321" s="51" t="s">
        <v>963</v>
      </c>
      <c r="B321" s="114">
        <v>43251</v>
      </c>
      <c r="C321" s="107">
        <v>43465</v>
      </c>
      <c r="D321" s="108">
        <v>20</v>
      </c>
      <c r="E321" s="14"/>
      <c r="F321" s="14">
        <f t="shared" si="39"/>
        <v>7883.64</v>
      </c>
      <c r="G321" s="14"/>
      <c r="H321" s="58">
        <f t="shared" si="40"/>
        <v>7883.64</v>
      </c>
      <c r="I321" s="126">
        <v>7883.64</v>
      </c>
      <c r="J321" s="151"/>
      <c r="K321" s="75"/>
      <c r="L321" s="215"/>
    </row>
    <row r="322" spans="1:36" s="4" customFormat="1" ht="28.5" customHeight="1" outlineLevel="1" x14ac:dyDescent="0.2">
      <c r="A322" s="51" t="s">
        <v>407</v>
      </c>
      <c r="B322" s="114">
        <v>43159</v>
      </c>
      <c r="C322" s="107">
        <v>43404</v>
      </c>
      <c r="D322" s="108">
        <v>40</v>
      </c>
      <c r="E322" s="14"/>
      <c r="F322" s="14">
        <f t="shared" si="39"/>
        <v>11769.25</v>
      </c>
      <c r="G322" s="14"/>
      <c r="H322" s="58">
        <f t="shared" si="40"/>
        <v>11769.25</v>
      </c>
      <c r="I322" s="126">
        <v>11769.25</v>
      </c>
      <c r="J322" s="151"/>
      <c r="K322" s="75"/>
      <c r="L322" s="215"/>
    </row>
    <row r="323" spans="1:36" s="4" customFormat="1" ht="28.5" customHeight="1" outlineLevel="1" x14ac:dyDescent="0.2">
      <c r="A323" s="51" t="s">
        <v>964</v>
      </c>
      <c r="B323" s="114">
        <v>43280</v>
      </c>
      <c r="C323" s="107">
        <v>43404</v>
      </c>
      <c r="D323" s="108">
        <v>40</v>
      </c>
      <c r="E323" s="14"/>
      <c r="F323" s="14">
        <f t="shared" si="39"/>
        <v>5237.01</v>
      </c>
      <c r="G323" s="14"/>
      <c r="H323" s="58">
        <f t="shared" si="40"/>
        <v>5237.01</v>
      </c>
      <c r="I323" s="126">
        <v>5237.01</v>
      </c>
      <c r="J323" s="151"/>
      <c r="K323" s="75"/>
      <c r="L323" s="215"/>
    </row>
    <row r="324" spans="1:36" s="27" customFormat="1" ht="27" customHeight="1" outlineLevel="1" x14ac:dyDescent="0.2">
      <c r="A324" s="51" t="s">
        <v>408</v>
      </c>
      <c r="B324" s="114">
        <v>43189</v>
      </c>
      <c r="C324" s="107">
        <v>43371</v>
      </c>
      <c r="D324" s="108">
        <v>70</v>
      </c>
      <c r="E324" s="14"/>
      <c r="F324" s="14">
        <f t="shared" si="39"/>
        <v>10162.86</v>
      </c>
      <c r="G324" s="14"/>
      <c r="H324" s="58">
        <f>E324+F324</f>
        <v>10162.86</v>
      </c>
      <c r="I324" s="126">
        <v>10162.86</v>
      </c>
      <c r="J324" s="151"/>
      <c r="K324" s="75"/>
      <c r="L324" s="204"/>
    </row>
    <row r="325" spans="1:36" s="4" customFormat="1" ht="28.5" customHeight="1" outlineLevel="1" x14ac:dyDescent="0.2">
      <c r="A325" s="51" t="s">
        <v>409</v>
      </c>
      <c r="B325" s="114">
        <v>43131</v>
      </c>
      <c r="C325" s="107">
        <v>43465</v>
      </c>
      <c r="D325" s="108">
        <v>20</v>
      </c>
      <c r="E325" s="14"/>
      <c r="F325" s="14">
        <f t="shared" si="39"/>
        <v>5310.98</v>
      </c>
      <c r="G325" s="14"/>
      <c r="H325" s="58">
        <f t="shared" si="40"/>
        <v>5310.98</v>
      </c>
      <c r="I325" s="126">
        <v>5310.98</v>
      </c>
      <c r="J325" s="151"/>
      <c r="K325" s="75"/>
      <c r="L325" s="215"/>
    </row>
    <row r="326" spans="1:36" s="27" customFormat="1" ht="27" customHeight="1" outlineLevel="1" x14ac:dyDescent="0.2">
      <c r="A326" s="51" t="s">
        <v>965</v>
      </c>
      <c r="B326" s="114">
        <v>43218</v>
      </c>
      <c r="C326" s="107">
        <v>43404</v>
      </c>
      <c r="D326" s="108">
        <v>60</v>
      </c>
      <c r="E326" s="14"/>
      <c r="F326" s="14">
        <f t="shared" si="39"/>
        <v>5834.77</v>
      </c>
      <c r="G326" s="14"/>
      <c r="H326" s="58">
        <f t="shared" si="40"/>
        <v>5834.77</v>
      </c>
      <c r="I326" s="126">
        <v>5834.77</v>
      </c>
      <c r="J326" s="151"/>
      <c r="K326" s="75"/>
      <c r="L326" s="204"/>
    </row>
    <row r="327" spans="1:36" s="27" customFormat="1" ht="27" customHeight="1" outlineLevel="1" x14ac:dyDescent="0.2">
      <c r="A327" s="51" t="s">
        <v>966</v>
      </c>
      <c r="B327" s="114">
        <v>43280</v>
      </c>
      <c r="C327" s="107">
        <v>43404</v>
      </c>
      <c r="D327" s="108">
        <v>40</v>
      </c>
      <c r="E327" s="14"/>
      <c r="F327" s="14">
        <f t="shared" si="39"/>
        <v>4194.12</v>
      </c>
      <c r="G327" s="14"/>
      <c r="H327" s="58">
        <f t="shared" si="40"/>
        <v>4194.12</v>
      </c>
      <c r="I327" s="126">
        <v>4194.12</v>
      </c>
      <c r="J327" s="151"/>
      <c r="K327" s="75"/>
      <c r="L327" s="204"/>
    </row>
    <row r="328" spans="1:36" s="27" customFormat="1" ht="27" customHeight="1" outlineLevel="1" x14ac:dyDescent="0.2">
      <c r="A328" s="51" t="s">
        <v>967</v>
      </c>
      <c r="B328" s="114">
        <v>43251</v>
      </c>
      <c r="C328" s="107">
        <v>43465</v>
      </c>
      <c r="D328" s="108">
        <v>20</v>
      </c>
      <c r="E328" s="14"/>
      <c r="F328" s="14">
        <f t="shared" si="39"/>
        <v>7405.72</v>
      </c>
      <c r="G328" s="14"/>
      <c r="H328" s="58">
        <f t="shared" si="40"/>
        <v>7405.72</v>
      </c>
      <c r="I328" s="126">
        <v>7405.72</v>
      </c>
      <c r="J328" s="151"/>
      <c r="K328" s="75"/>
      <c r="L328" s="204"/>
    </row>
    <row r="329" spans="1:36" s="4" customFormat="1" ht="28.5" customHeight="1" outlineLevel="1" x14ac:dyDescent="0.2">
      <c r="A329" s="51" t="s">
        <v>410</v>
      </c>
      <c r="B329" s="114">
        <v>43159</v>
      </c>
      <c r="C329" s="107">
        <v>43371</v>
      </c>
      <c r="D329" s="108">
        <v>60</v>
      </c>
      <c r="E329" s="14"/>
      <c r="F329" s="14">
        <f t="shared" si="39"/>
        <v>4787.1899999999996</v>
      </c>
      <c r="G329" s="14"/>
      <c r="H329" s="58">
        <f t="shared" si="40"/>
        <v>4787.1899999999996</v>
      </c>
      <c r="I329" s="126">
        <v>4787.1899999999996</v>
      </c>
      <c r="J329" s="151"/>
      <c r="K329" s="75"/>
      <c r="L329" s="215"/>
    </row>
    <row r="330" spans="1:36" s="4" customFormat="1" ht="27" customHeight="1" outlineLevel="1" x14ac:dyDescent="0.2">
      <c r="A330" s="51" t="s">
        <v>968</v>
      </c>
      <c r="B330" s="114">
        <v>43218</v>
      </c>
      <c r="C330" s="107">
        <v>43465</v>
      </c>
      <c r="D330" s="108">
        <v>20</v>
      </c>
      <c r="E330" s="14"/>
      <c r="F330" s="14">
        <f t="shared" si="39"/>
        <v>4361.21</v>
      </c>
      <c r="G330" s="14"/>
      <c r="H330" s="58">
        <f>E330+F330</f>
        <v>4361.21</v>
      </c>
      <c r="I330" s="126">
        <v>4361.21</v>
      </c>
      <c r="J330" s="151"/>
      <c r="K330" s="75"/>
      <c r="L330" s="215"/>
    </row>
    <row r="331" spans="1:36" s="27" customFormat="1" ht="27" customHeight="1" outlineLevel="1" x14ac:dyDescent="0.2">
      <c r="A331" s="51" t="s">
        <v>176</v>
      </c>
      <c r="B331" s="114">
        <v>42824</v>
      </c>
      <c r="C331" s="107">
        <v>43404</v>
      </c>
      <c r="D331" s="108">
        <v>60</v>
      </c>
      <c r="E331" s="14"/>
      <c r="F331" s="14">
        <f t="shared" si="39"/>
        <v>37128.949999999997</v>
      </c>
      <c r="G331" s="14"/>
      <c r="H331" s="58">
        <f t="shared" si="40"/>
        <v>37128.949999999997</v>
      </c>
      <c r="I331" s="126">
        <v>37128.949999999997</v>
      </c>
      <c r="J331" s="151"/>
      <c r="K331" s="75"/>
      <c r="L331" s="204"/>
    </row>
    <row r="332" spans="1:36" s="27" customFormat="1" ht="27" customHeight="1" outlineLevel="1" x14ac:dyDescent="0.2">
      <c r="A332" s="51" t="s">
        <v>44</v>
      </c>
      <c r="B332" s="103">
        <v>42389</v>
      </c>
      <c r="C332" s="115">
        <v>43465</v>
      </c>
      <c r="D332" s="108"/>
      <c r="E332" s="14"/>
      <c r="F332" s="14">
        <f t="shared" si="39"/>
        <v>13943.55</v>
      </c>
      <c r="G332" s="14"/>
      <c r="H332" s="58">
        <f>E332+F332</f>
        <v>13943.55</v>
      </c>
      <c r="I332" s="126">
        <v>13943.55</v>
      </c>
      <c r="J332" s="151"/>
      <c r="K332" s="75"/>
      <c r="L332" s="204"/>
    </row>
    <row r="333" spans="1:36" s="13" customFormat="1" ht="24" customHeight="1" outlineLevel="1" x14ac:dyDescent="0.2">
      <c r="A333" s="51" t="s">
        <v>47</v>
      </c>
      <c r="B333" s="103">
        <v>42527</v>
      </c>
      <c r="C333" s="114">
        <v>43373</v>
      </c>
      <c r="D333" s="108"/>
      <c r="E333" s="14"/>
      <c r="F333" s="14">
        <f t="shared" si="39"/>
        <v>5509.1</v>
      </c>
      <c r="G333" s="14"/>
      <c r="H333" s="58">
        <f t="shared" si="40"/>
        <v>5509.1</v>
      </c>
      <c r="I333" s="126">
        <v>5509.1</v>
      </c>
      <c r="J333" s="152"/>
      <c r="K333" s="152"/>
      <c r="L333" s="205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s="27" customFormat="1" ht="27" customHeight="1" outlineLevel="1" x14ac:dyDescent="0.2">
      <c r="A334" s="51" t="s">
        <v>48</v>
      </c>
      <c r="B334" s="114">
        <v>43218</v>
      </c>
      <c r="C334" s="107">
        <v>43434</v>
      </c>
      <c r="D334" s="108">
        <v>40</v>
      </c>
      <c r="E334" s="14">
        <v>45000</v>
      </c>
      <c r="F334" s="14">
        <f>I334-E334</f>
        <v>36445.300000000003</v>
      </c>
      <c r="G334" s="14"/>
      <c r="H334" s="58">
        <f t="shared" si="40"/>
        <v>81445.3</v>
      </c>
      <c r="I334" s="126">
        <v>81445.3</v>
      </c>
      <c r="J334" s="153"/>
      <c r="K334" s="75"/>
      <c r="L334" s="204"/>
    </row>
    <row r="335" spans="1:36" s="13" customFormat="1" ht="24" outlineLevel="1" x14ac:dyDescent="0.2">
      <c r="A335" s="51" t="s">
        <v>177</v>
      </c>
      <c r="B335" s="114">
        <v>42551</v>
      </c>
      <c r="C335" s="107">
        <v>43465</v>
      </c>
      <c r="D335" s="108">
        <v>20</v>
      </c>
      <c r="E335" s="14"/>
      <c r="F335" s="14">
        <f t="shared" si="39"/>
        <v>3772.34</v>
      </c>
      <c r="G335" s="14"/>
      <c r="H335" s="58">
        <f t="shared" si="40"/>
        <v>3772.34</v>
      </c>
      <c r="I335" s="126">
        <v>3772.34</v>
      </c>
      <c r="J335" s="151"/>
      <c r="K335" s="75"/>
      <c r="L335" s="205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s="27" customFormat="1" ht="27" customHeight="1" outlineLevel="1" x14ac:dyDescent="0.2">
      <c r="A336" s="51" t="s">
        <v>969</v>
      </c>
      <c r="B336" s="114">
        <v>43251</v>
      </c>
      <c r="C336" s="107">
        <v>43465</v>
      </c>
      <c r="D336" s="108">
        <v>20</v>
      </c>
      <c r="E336" s="14"/>
      <c r="F336" s="14">
        <f t="shared" si="39"/>
        <v>4808.8900000000003</v>
      </c>
      <c r="G336" s="14"/>
      <c r="H336" s="58">
        <f t="shared" si="40"/>
        <v>4808.8900000000003</v>
      </c>
      <c r="I336" s="126">
        <v>4808.8900000000003</v>
      </c>
      <c r="J336" s="151"/>
      <c r="K336" s="75"/>
      <c r="L336" s="204"/>
    </row>
    <row r="337" spans="1:36" s="4" customFormat="1" ht="26.25" customHeight="1" outlineLevel="1" x14ac:dyDescent="0.2">
      <c r="A337" s="51" t="s">
        <v>970</v>
      </c>
      <c r="B337" s="114">
        <v>43218</v>
      </c>
      <c r="C337" s="107">
        <v>43312</v>
      </c>
      <c r="D337" s="111"/>
      <c r="E337" s="163"/>
      <c r="F337" s="14">
        <f t="shared" si="39"/>
        <v>6226.02</v>
      </c>
      <c r="G337" s="162"/>
      <c r="H337" s="58">
        <f t="shared" si="40"/>
        <v>6226.02</v>
      </c>
      <c r="I337" s="126">
        <v>6226.02</v>
      </c>
      <c r="J337" s="151"/>
      <c r="K337" s="75"/>
      <c r="L337" s="215"/>
    </row>
    <row r="338" spans="1:36" s="4" customFormat="1" ht="27" customHeight="1" outlineLevel="1" x14ac:dyDescent="0.2">
      <c r="A338" s="51" t="s">
        <v>411</v>
      </c>
      <c r="B338" s="114">
        <v>43131</v>
      </c>
      <c r="C338" s="107">
        <v>43311</v>
      </c>
      <c r="D338" s="108">
        <v>70</v>
      </c>
      <c r="E338" s="14"/>
      <c r="F338" s="14">
        <f>I338</f>
        <v>4775.6099999999997</v>
      </c>
      <c r="G338" s="14"/>
      <c r="H338" s="58">
        <f>E338+F338</f>
        <v>4775.6099999999997</v>
      </c>
      <c r="I338" s="126">
        <v>4775.6099999999997</v>
      </c>
      <c r="J338" s="151"/>
      <c r="K338" s="75"/>
      <c r="L338" s="215"/>
    </row>
    <row r="339" spans="1:36" s="13" customFormat="1" ht="24" outlineLevel="1" x14ac:dyDescent="0.2">
      <c r="A339" s="51" t="s">
        <v>265</v>
      </c>
      <c r="B339" s="114">
        <v>43039</v>
      </c>
      <c r="C339" s="107">
        <v>43465</v>
      </c>
      <c r="D339" s="108">
        <v>20</v>
      </c>
      <c r="E339" s="14"/>
      <c r="F339" s="14">
        <f t="shared" ref="F339:F351" si="41">I339</f>
        <v>12581.73</v>
      </c>
      <c r="G339" s="14"/>
      <c r="H339" s="58">
        <f t="shared" ref="H339:H351" si="42">E339+F339</f>
        <v>12581.73</v>
      </c>
      <c r="I339" s="126">
        <v>12581.73</v>
      </c>
      <c r="J339" s="151"/>
      <c r="K339" s="75"/>
      <c r="L339" s="205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s="4" customFormat="1" ht="27" customHeight="1" outlineLevel="1" x14ac:dyDescent="0.2">
      <c r="A340" s="51" t="s">
        <v>178</v>
      </c>
      <c r="B340" s="114">
        <v>42643</v>
      </c>
      <c r="C340" s="107">
        <v>43465</v>
      </c>
      <c r="D340" s="108">
        <v>50</v>
      </c>
      <c r="E340" s="14"/>
      <c r="F340" s="14">
        <f t="shared" si="41"/>
        <v>28772.34</v>
      </c>
      <c r="G340" s="14"/>
      <c r="H340" s="58">
        <f t="shared" si="42"/>
        <v>28772.34</v>
      </c>
      <c r="I340" s="126">
        <v>28772.34</v>
      </c>
      <c r="J340" s="151"/>
      <c r="K340" s="75"/>
      <c r="L340" s="215"/>
    </row>
    <row r="341" spans="1:36" s="4" customFormat="1" ht="30" customHeight="1" outlineLevel="1" x14ac:dyDescent="0.2">
      <c r="A341" s="51" t="s">
        <v>971</v>
      </c>
      <c r="B341" s="114">
        <v>43209</v>
      </c>
      <c r="C341" s="107">
        <v>43465</v>
      </c>
      <c r="D341" s="108">
        <v>20</v>
      </c>
      <c r="E341" s="14"/>
      <c r="F341" s="14">
        <f t="shared" si="41"/>
        <v>51882.35</v>
      </c>
      <c r="G341" s="14"/>
      <c r="H341" s="58">
        <f t="shared" si="42"/>
        <v>51882.35</v>
      </c>
      <c r="I341" s="126">
        <v>51882.35</v>
      </c>
      <c r="J341" s="151"/>
      <c r="K341" s="75"/>
      <c r="L341" s="215"/>
    </row>
    <row r="342" spans="1:36" s="4" customFormat="1" ht="33.75" customHeight="1" outlineLevel="1" x14ac:dyDescent="0.2">
      <c r="A342" s="51" t="s">
        <v>412</v>
      </c>
      <c r="B342" s="114">
        <v>43039</v>
      </c>
      <c r="C342" s="107">
        <v>43465</v>
      </c>
      <c r="D342" s="108">
        <v>40</v>
      </c>
      <c r="E342" s="14"/>
      <c r="F342" s="14">
        <f t="shared" si="41"/>
        <v>16945.7</v>
      </c>
      <c r="G342" s="14"/>
      <c r="H342" s="58">
        <f t="shared" si="42"/>
        <v>16945.7</v>
      </c>
      <c r="I342" s="126">
        <v>16945.7</v>
      </c>
      <c r="J342" s="151"/>
      <c r="K342" s="75"/>
      <c r="L342" s="215"/>
    </row>
    <row r="343" spans="1:36" s="27" customFormat="1" ht="27" customHeight="1" outlineLevel="1" x14ac:dyDescent="0.2">
      <c r="A343" s="51" t="s">
        <v>972</v>
      </c>
      <c r="B343" s="114">
        <v>43280</v>
      </c>
      <c r="C343" s="107">
        <v>43343</v>
      </c>
      <c r="D343" s="108">
        <v>60</v>
      </c>
      <c r="E343" s="14"/>
      <c r="F343" s="14">
        <f t="shared" si="41"/>
        <v>2455.41</v>
      </c>
      <c r="G343" s="14"/>
      <c r="H343" s="58">
        <f t="shared" si="42"/>
        <v>2455.41</v>
      </c>
      <c r="I343" s="126">
        <v>2455.41</v>
      </c>
      <c r="J343" s="151"/>
      <c r="K343" s="75"/>
      <c r="L343" s="204"/>
    </row>
    <row r="344" spans="1:36" s="4" customFormat="1" ht="33.75" customHeight="1" outlineLevel="1" x14ac:dyDescent="0.2">
      <c r="A344" s="51" t="s">
        <v>266</v>
      </c>
      <c r="B344" s="114">
        <v>43463</v>
      </c>
      <c r="C344" s="107">
        <v>43434</v>
      </c>
      <c r="D344" s="108">
        <v>60</v>
      </c>
      <c r="E344" s="14"/>
      <c r="F344" s="14">
        <f t="shared" si="41"/>
        <v>7463.45</v>
      </c>
      <c r="G344" s="14"/>
      <c r="H344" s="58">
        <f t="shared" si="42"/>
        <v>7463.45</v>
      </c>
      <c r="I344" s="126">
        <v>7463.45</v>
      </c>
      <c r="J344" s="151"/>
      <c r="K344" s="75"/>
      <c r="L344" s="215"/>
    </row>
    <row r="345" spans="1:36" s="4" customFormat="1" ht="29.25" customHeight="1" outlineLevel="1" x14ac:dyDescent="0.2">
      <c r="A345" s="51" t="s">
        <v>413</v>
      </c>
      <c r="B345" s="114">
        <v>43189</v>
      </c>
      <c r="C345" s="107">
        <v>43465</v>
      </c>
      <c r="D345" s="108">
        <v>20</v>
      </c>
      <c r="E345" s="14"/>
      <c r="F345" s="14">
        <f t="shared" si="41"/>
        <v>5604.42</v>
      </c>
      <c r="G345" s="14"/>
      <c r="H345" s="58">
        <f t="shared" si="42"/>
        <v>5604.42</v>
      </c>
      <c r="I345" s="126">
        <v>5604.42</v>
      </c>
      <c r="J345" s="151"/>
      <c r="K345" s="75"/>
      <c r="L345" s="215"/>
    </row>
    <row r="346" spans="1:36" s="4" customFormat="1" ht="28.5" customHeight="1" outlineLevel="1" x14ac:dyDescent="0.2">
      <c r="A346" s="51" t="s">
        <v>49</v>
      </c>
      <c r="B346" s="103">
        <v>42527</v>
      </c>
      <c r="C346" s="107">
        <v>43465</v>
      </c>
      <c r="D346" s="108">
        <v>20</v>
      </c>
      <c r="E346" s="14"/>
      <c r="F346" s="14">
        <f t="shared" si="41"/>
        <v>30509.1</v>
      </c>
      <c r="G346" s="14"/>
      <c r="H346" s="58">
        <f t="shared" si="42"/>
        <v>30509.1</v>
      </c>
      <c r="I346" s="126">
        <v>30509.1</v>
      </c>
      <c r="J346" s="151"/>
      <c r="K346" s="75"/>
      <c r="L346" s="215"/>
    </row>
    <row r="347" spans="1:36" s="13" customFormat="1" ht="36" outlineLevel="1" x14ac:dyDescent="0.2">
      <c r="A347" s="51" t="s">
        <v>973</v>
      </c>
      <c r="B347" s="114">
        <v>43218</v>
      </c>
      <c r="C347" s="107">
        <v>43343</v>
      </c>
      <c r="D347" s="108">
        <v>75</v>
      </c>
      <c r="E347" s="14"/>
      <c r="F347" s="14">
        <f t="shared" si="41"/>
        <v>13402.08</v>
      </c>
      <c r="G347" s="14"/>
      <c r="H347" s="58">
        <f t="shared" si="42"/>
        <v>13402.08</v>
      </c>
      <c r="I347" s="126">
        <v>13402.08</v>
      </c>
      <c r="J347" s="151"/>
      <c r="K347" s="75"/>
      <c r="L347" s="205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s="27" customFormat="1" ht="27" customHeight="1" outlineLevel="1" x14ac:dyDescent="0.2">
      <c r="A348" s="51" t="s">
        <v>974</v>
      </c>
      <c r="B348" s="114">
        <v>43251</v>
      </c>
      <c r="C348" s="107">
        <v>43343</v>
      </c>
      <c r="D348" s="108">
        <v>60</v>
      </c>
      <c r="E348" s="14"/>
      <c r="F348" s="14">
        <f t="shared" si="41"/>
        <v>4361.21</v>
      </c>
      <c r="G348" s="14"/>
      <c r="H348" s="58">
        <f t="shared" si="42"/>
        <v>4361.21</v>
      </c>
      <c r="I348" s="126">
        <v>4361.21</v>
      </c>
      <c r="J348" s="151"/>
      <c r="K348" s="75"/>
      <c r="L348" s="204"/>
    </row>
    <row r="349" spans="1:36" s="27" customFormat="1" ht="27" customHeight="1" outlineLevel="1" x14ac:dyDescent="0.2">
      <c r="A349" s="51" t="s">
        <v>975</v>
      </c>
      <c r="B349" s="114">
        <v>43251</v>
      </c>
      <c r="C349" s="107">
        <v>43465</v>
      </c>
      <c r="D349" s="108">
        <v>20</v>
      </c>
      <c r="E349" s="14"/>
      <c r="F349" s="14">
        <f t="shared" si="41"/>
        <v>7469.24</v>
      </c>
      <c r="G349" s="14"/>
      <c r="H349" s="58">
        <f t="shared" si="42"/>
        <v>7469.24</v>
      </c>
      <c r="I349" s="126">
        <v>7469.24</v>
      </c>
      <c r="J349" s="151"/>
      <c r="K349" s="75"/>
      <c r="L349" s="204"/>
    </row>
    <row r="350" spans="1:36" s="4" customFormat="1" ht="28.5" customHeight="1" outlineLevel="1" x14ac:dyDescent="0.2">
      <c r="A350" s="51" t="s">
        <v>976</v>
      </c>
      <c r="B350" s="114">
        <v>43251</v>
      </c>
      <c r="C350" s="107">
        <v>43465</v>
      </c>
      <c r="D350" s="108">
        <v>40</v>
      </c>
      <c r="E350" s="14"/>
      <c r="F350" s="14">
        <f t="shared" si="41"/>
        <v>5750.97</v>
      </c>
      <c r="G350" s="14"/>
      <c r="H350" s="58">
        <f t="shared" si="42"/>
        <v>5750.97</v>
      </c>
      <c r="I350" s="126">
        <v>5750.97</v>
      </c>
      <c r="J350" s="151"/>
      <c r="K350" s="75"/>
      <c r="L350" s="215"/>
    </row>
    <row r="351" spans="1:36" s="4" customFormat="1" ht="28.5" customHeight="1" outlineLevel="1" x14ac:dyDescent="0.2">
      <c r="A351" s="51" t="s">
        <v>267</v>
      </c>
      <c r="B351" s="114">
        <v>43039</v>
      </c>
      <c r="C351" s="112">
        <v>43373</v>
      </c>
      <c r="D351" s="113">
        <v>50</v>
      </c>
      <c r="E351" s="164"/>
      <c r="F351" s="14">
        <f t="shared" si="41"/>
        <v>3000</v>
      </c>
      <c r="G351" s="162"/>
      <c r="H351" s="58">
        <f t="shared" si="42"/>
        <v>3000</v>
      </c>
      <c r="I351" s="126">
        <v>3000</v>
      </c>
      <c r="J351" s="151"/>
      <c r="K351" s="75"/>
      <c r="L351" s="215"/>
    </row>
    <row r="352" spans="1:36" s="27" customFormat="1" ht="27" customHeight="1" outlineLevel="1" x14ac:dyDescent="0.2">
      <c r="A352" s="51" t="s">
        <v>268</v>
      </c>
      <c r="B352" s="114">
        <v>43404</v>
      </c>
      <c r="C352" s="107">
        <v>43371</v>
      </c>
      <c r="D352" s="108">
        <v>70</v>
      </c>
      <c r="E352" s="14"/>
      <c r="F352" s="14">
        <f>I352</f>
        <v>10709.5</v>
      </c>
      <c r="G352" s="14"/>
      <c r="H352" s="58">
        <f>E352+F352</f>
        <v>10709.5</v>
      </c>
      <c r="I352" s="126">
        <v>10709.5</v>
      </c>
      <c r="J352" s="151"/>
      <c r="K352" s="75"/>
      <c r="L352" s="204"/>
    </row>
    <row r="353" spans="1:39" s="27" customFormat="1" ht="27" customHeight="1" outlineLevel="1" x14ac:dyDescent="0.2">
      <c r="A353" s="51" t="s">
        <v>977</v>
      </c>
      <c r="B353" s="114">
        <v>43218</v>
      </c>
      <c r="C353" s="107">
        <v>43465</v>
      </c>
      <c r="D353" s="108">
        <v>20</v>
      </c>
      <c r="E353" s="14"/>
      <c r="F353" s="14">
        <f t="shared" ref="F353:F357" si="43">I353</f>
        <v>6018.82</v>
      </c>
      <c r="G353" s="14"/>
      <c r="H353" s="58">
        <f t="shared" ref="H353:H357" si="44">E353+F353</f>
        <v>6018.82</v>
      </c>
      <c r="I353" s="126">
        <v>6018.82</v>
      </c>
      <c r="J353" s="151"/>
      <c r="K353" s="75"/>
      <c r="L353" s="204"/>
    </row>
    <row r="354" spans="1:39" s="3" customFormat="1" ht="24" outlineLevel="1" x14ac:dyDescent="0.2">
      <c r="A354" s="51" t="s">
        <v>45</v>
      </c>
      <c r="B354" s="154"/>
      <c r="C354" s="107">
        <v>43465</v>
      </c>
      <c r="D354" s="108">
        <v>20</v>
      </c>
      <c r="E354" s="14"/>
      <c r="F354" s="14">
        <f t="shared" si="43"/>
        <v>51583.59</v>
      </c>
      <c r="G354" s="14"/>
      <c r="H354" s="58">
        <f t="shared" si="44"/>
        <v>51583.59</v>
      </c>
      <c r="I354" s="126">
        <v>51583.59</v>
      </c>
      <c r="J354" s="151"/>
      <c r="K354" s="75"/>
      <c r="L354" s="20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9" s="10" customFormat="1" ht="32.25" customHeight="1" outlineLevel="1" x14ac:dyDescent="0.2">
      <c r="A355" s="51" t="s">
        <v>978</v>
      </c>
      <c r="B355" s="114">
        <v>43251</v>
      </c>
      <c r="C355" s="107">
        <v>43465</v>
      </c>
      <c r="D355" s="108">
        <v>40</v>
      </c>
      <c r="E355" s="14"/>
      <c r="F355" s="14">
        <f t="shared" si="43"/>
        <v>4358.4799999999996</v>
      </c>
      <c r="G355" s="14"/>
      <c r="H355" s="58">
        <f t="shared" si="44"/>
        <v>4358.4799999999996</v>
      </c>
      <c r="I355" s="126">
        <v>4358.4799999999996</v>
      </c>
      <c r="J355" s="151"/>
      <c r="K355" s="75"/>
      <c r="L355" s="202"/>
      <c r="M355" s="8"/>
      <c r="N355" s="8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</row>
    <row r="356" spans="1:39" s="27" customFormat="1" ht="27" customHeight="1" outlineLevel="1" x14ac:dyDescent="0.2">
      <c r="A356" s="51" t="s">
        <v>50</v>
      </c>
      <c r="B356" s="154"/>
      <c r="C356" s="107">
        <v>43465</v>
      </c>
      <c r="D356" s="108">
        <v>40</v>
      </c>
      <c r="E356" s="14"/>
      <c r="F356" s="14">
        <f t="shared" si="43"/>
        <v>12161.83</v>
      </c>
      <c r="G356" s="14"/>
      <c r="H356" s="58">
        <f t="shared" si="44"/>
        <v>12161.83</v>
      </c>
      <c r="I356" s="126">
        <v>12161.83</v>
      </c>
      <c r="J356" s="151"/>
      <c r="K356" s="75"/>
      <c r="L356" s="204"/>
    </row>
    <row r="357" spans="1:39" s="10" customFormat="1" ht="27.75" customHeight="1" outlineLevel="1" x14ac:dyDescent="0.2">
      <c r="A357" s="51" t="s">
        <v>979</v>
      </c>
      <c r="B357" s="114">
        <v>42613</v>
      </c>
      <c r="C357" s="114">
        <v>43312</v>
      </c>
      <c r="D357" s="130"/>
      <c r="E357" s="122"/>
      <c r="F357" s="14">
        <f t="shared" si="43"/>
        <v>2657.69</v>
      </c>
      <c r="G357" s="165"/>
      <c r="H357" s="58">
        <f t="shared" si="44"/>
        <v>2657.69</v>
      </c>
      <c r="I357" s="126">
        <v>2657.69</v>
      </c>
      <c r="J357" s="151"/>
      <c r="K357" s="75"/>
      <c r="L357" s="202"/>
      <c r="M357" s="8"/>
      <c r="N357" s="8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</row>
    <row r="358" spans="1:39" s="10" customFormat="1" ht="31.5" customHeight="1" outlineLevel="1" x14ac:dyDescent="0.2">
      <c r="A358" s="51" t="s">
        <v>0</v>
      </c>
      <c r="B358" s="154"/>
      <c r="C358" s="107">
        <v>43465</v>
      </c>
      <c r="D358" s="108">
        <v>70</v>
      </c>
      <c r="E358" s="14"/>
      <c r="F358" s="14">
        <f>I358</f>
        <v>77164.960000000006</v>
      </c>
      <c r="G358" s="14"/>
      <c r="H358" s="58">
        <f>E358+F358</f>
        <v>77164.960000000006</v>
      </c>
      <c r="I358" s="126">
        <v>77164.960000000006</v>
      </c>
      <c r="J358" s="151"/>
      <c r="K358" s="75"/>
      <c r="L358" s="202"/>
      <c r="M358" s="8"/>
      <c r="N358" s="8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</row>
    <row r="359" spans="1:39" s="10" customFormat="1" ht="32.25" customHeight="1" outlineLevel="1" x14ac:dyDescent="0.2">
      <c r="A359" s="51" t="s">
        <v>980</v>
      </c>
      <c r="B359" s="114">
        <v>43251</v>
      </c>
      <c r="C359" s="107">
        <v>43465</v>
      </c>
      <c r="D359" s="108">
        <v>40</v>
      </c>
      <c r="E359" s="14"/>
      <c r="F359" s="14">
        <f t="shared" ref="F359:F360" si="45">I359</f>
        <v>4877.68</v>
      </c>
      <c r="G359" s="14"/>
      <c r="H359" s="58">
        <f t="shared" ref="H359:H360" si="46">E359+F359</f>
        <v>4877.68</v>
      </c>
      <c r="I359" s="126">
        <v>4877.68</v>
      </c>
      <c r="J359" s="151"/>
      <c r="K359" s="75"/>
      <c r="L359" s="202"/>
      <c r="M359" s="8"/>
      <c r="N359" s="8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</row>
    <row r="360" spans="1:39" s="10" customFormat="1" ht="12" customHeight="1" outlineLevel="1" x14ac:dyDescent="0.2">
      <c r="A360" s="51" t="s">
        <v>414</v>
      </c>
      <c r="B360" s="114">
        <v>43131</v>
      </c>
      <c r="C360" s="107">
        <v>43465</v>
      </c>
      <c r="D360" s="108">
        <v>40</v>
      </c>
      <c r="E360" s="14"/>
      <c r="F360" s="14">
        <f t="shared" si="45"/>
        <v>7469.24</v>
      </c>
      <c r="G360" s="14"/>
      <c r="H360" s="58">
        <f t="shared" si="46"/>
        <v>7469.24</v>
      </c>
      <c r="I360" s="126">
        <v>7469.24</v>
      </c>
      <c r="J360" s="151"/>
      <c r="K360" s="75"/>
      <c r="L360" s="202"/>
      <c r="M360" s="8"/>
      <c r="N360" s="8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</row>
    <row r="361" spans="1:39" s="10" customFormat="1" ht="39.75" customHeight="1" outlineLevel="1" x14ac:dyDescent="0.2">
      <c r="A361" s="51" t="s">
        <v>38</v>
      </c>
      <c r="B361" s="154"/>
      <c r="C361" s="114">
        <v>43373</v>
      </c>
      <c r="D361" s="130"/>
      <c r="E361" s="166"/>
      <c r="F361" s="122">
        <v>9581.82</v>
      </c>
      <c r="G361" s="122"/>
      <c r="H361" s="126">
        <v>9581.82</v>
      </c>
      <c r="I361" s="126">
        <v>9581.82</v>
      </c>
      <c r="J361" s="152"/>
      <c r="K361" s="152"/>
      <c r="L361" s="202"/>
      <c r="M361" s="8"/>
      <c r="N361" s="8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</row>
    <row r="362" spans="1:39" s="10" customFormat="1" ht="38.25" customHeight="1" outlineLevel="1" x14ac:dyDescent="0.2">
      <c r="A362" s="51" t="s">
        <v>269</v>
      </c>
      <c r="B362" s="114">
        <v>43039</v>
      </c>
      <c r="C362" s="107">
        <v>43465</v>
      </c>
      <c r="D362" s="108">
        <v>20</v>
      </c>
      <c r="E362" s="14"/>
      <c r="F362" s="14">
        <f>I362</f>
        <v>3000</v>
      </c>
      <c r="G362" s="14"/>
      <c r="H362" s="58">
        <f>E362+F362</f>
        <v>3000</v>
      </c>
      <c r="I362" s="126">
        <v>3000</v>
      </c>
      <c r="J362" s="151"/>
      <c r="K362" s="75"/>
      <c r="L362" s="202"/>
      <c r="M362" s="8"/>
      <c r="N362" s="8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</row>
    <row r="363" spans="1:39" s="10" customFormat="1" ht="26.25" customHeight="1" outlineLevel="1" x14ac:dyDescent="0.2">
      <c r="A363" s="51" t="s">
        <v>179</v>
      </c>
      <c r="B363" s="114">
        <v>42613</v>
      </c>
      <c r="C363" s="114">
        <v>43373</v>
      </c>
      <c r="D363" s="111"/>
      <c r="E363" s="163"/>
      <c r="F363" s="163">
        <v>5492.87</v>
      </c>
      <c r="G363" s="163"/>
      <c r="H363" s="52">
        <v>5492.87</v>
      </c>
      <c r="I363" s="126">
        <v>5492.87</v>
      </c>
      <c r="J363" s="152"/>
      <c r="K363" s="152"/>
      <c r="L363" s="202"/>
      <c r="M363" s="8"/>
      <c r="N363" s="8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</row>
    <row r="364" spans="1:39" s="27" customFormat="1" ht="27" customHeight="1" outlineLevel="1" x14ac:dyDescent="0.2">
      <c r="A364" s="51" t="s">
        <v>981</v>
      </c>
      <c r="B364" s="114">
        <v>43218</v>
      </c>
      <c r="C364" s="107">
        <v>43465</v>
      </c>
      <c r="D364" s="108">
        <v>20</v>
      </c>
      <c r="E364" s="14"/>
      <c r="F364" s="14">
        <f>I364</f>
        <v>54126.85</v>
      </c>
      <c r="G364" s="14"/>
      <c r="H364" s="58">
        <f>E364+F364</f>
        <v>54126.85</v>
      </c>
      <c r="I364" s="126">
        <v>54126.85</v>
      </c>
      <c r="J364" s="151"/>
      <c r="K364" s="75"/>
      <c r="L364" s="204"/>
    </row>
    <row r="365" spans="1:39" s="10" customFormat="1" ht="24" outlineLevel="1" x14ac:dyDescent="0.2">
      <c r="A365" s="51" t="s">
        <v>415</v>
      </c>
      <c r="B365" s="182">
        <v>43189</v>
      </c>
      <c r="C365" s="107">
        <v>43343</v>
      </c>
      <c r="D365" s="108">
        <v>50</v>
      </c>
      <c r="E365" s="14"/>
      <c r="F365" s="14">
        <f t="shared" ref="F365:F405" si="47">I365</f>
        <v>5572.87</v>
      </c>
      <c r="G365" s="14"/>
      <c r="H365" s="58">
        <f t="shared" ref="H365:H405" si="48">E365+F365</f>
        <v>5572.87</v>
      </c>
      <c r="I365" s="126">
        <v>5572.87</v>
      </c>
      <c r="J365" s="151"/>
      <c r="K365" s="75"/>
      <c r="L365" s="202"/>
      <c r="M365" s="8"/>
      <c r="N365" s="8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</row>
    <row r="366" spans="1:39" s="4" customFormat="1" ht="27" customHeight="1" outlineLevel="1" x14ac:dyDescent="0.2">
      <c r="A366" s="51" t="s">
        <v>982</v>
      </c>
      <c r="B366" s="182">
        <v>43280</v>
      </c>
      <c r="C366" s="107">
        <v>43343</v>
      </c>
      <c r="D366" s="108">
        <v>60</v>
      </c>
      <c r="E366" s="14"/>
      <c r="F366" s="14">
        <f t="shared" si="47"/>
        <v>3300.5</v>
      </c>
      <c r="G366" s="14"/>
      <c r="H366" s="58">
        <f t="shared" si="48"/>
        <v>3300.5</v>
      </c>
      <c r="I366" s="126">
        <v>3300.5</v>
      </c>
      <c r="J366" s="151"/>
      <c r="K366" s="75"/>
      <c r="L366" s="215"/>
    </row>
    <row r="367" spans="1:39" s="10" customFormat="1" ht="24" outlineLevel="1" x14ac:dyDescent="0.2">
      <c r="A367" s="51" t="s">
        <v>270</v>
      </c>
      <c r="B367" s="182">
        <v>43098</v>
      </c>
      <c r="C367" s="107">
        <v>43343</v>
      </c>
      <c r="D367" s="108">
        <v>60</v>
      </c>
      <c r="E367" s="14"/>
      <c r="F367" s="14">
        <f t="shared" si="47"/>
        <v>5572.87</v>
      </c>
      <c r="G367" s="14"/>
      <c r="H367" s="58">
        <f t="shared" si="48"/>
        <v>5572.87</v>
      </c>
      <c r="I367" s="126">
        <v>5572.87</v>
      </c>
      <c r="J367" s="151"/>
      <c r="K367" s="75"/>
      <c r="L367" s="202"/>
      <c r="M367" s="8"/>
      <c r="N367" s="8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</row>
    <row r="368" spans="1:39" s="4" customFormat="1" ht="27" customHeight="1" outlineLevel="1" x14ac:dyDescent="0.2">
      <c r="A368" s="51" t="s">
        <v>416</v>
      </c>
      <c r="B368" s="182">
        <v>43189</v>
      </c>
      <c r="C368" s="107">
        <v>43404</v>
      </c>
      <c r="D368" s="108">
        <v>40</v>
      </c>
      <c r="E368" s="14"/>
      <c r="F368" s="14">
        <f t="shared" si="47"/>
        <v>4982.8100000000004</v>
      </c>
      <c r="G368" s="14"/>
      <c r="H368" s="58">
        <f t="shared" si="48"/>
        <v>4982.8100000000004</v>
      </c>
      <c r="I368" s="126">
        <v>4982.8100000000004</v>
      </c>
      <c r="J368" s="151"/>
      <c r="K368" s="75"/>
      <c r="L368" s="215"/>
    </row>
    <row r="369" spans="1:39" s="27" customFormat="1" ht="27" customHeight="1" outlineLevel="1" x14ac:dyDescent="0.2">
      <c r="A369" s="51" t="s">
        <v>983</v>
      </c>
      <c r="B369" s="182">
        <v>43218</v>
      </c>
      <c r="C369" s="107">
        <v>43465</v>
      </c>
      <c r="D369" s="108">
        <v>40</v>
      </c>
      <c r="E369" s="14"/>
      <c r="F369" s="14">
        <f t="shared" si="47"/>
        <v>9334.0499999999993</v>
      </c>
      <c r="G369" s="14"/>
      <c r="H369" s="58">
        <f t="shared" si="48"/>
        <v>9334.0499999999993</v>
      </c>
      <c r="I369" s="126">
        <v>9334.0499999999993</v>
      </c>
      <c r="J369" s="151"/>
      <c r="K369" s="75"/>
      <c r="L369" s="204"/>
    </row>
    <row r="370" spans="1:39" s="27" customFormat="1" ht="27" customHeight="1" outlineLevel="1" x14ac:dyDescent="0.2">
      <c r="A370" s="51" t="s">
        <v>180</v>
      </c>
      <c r="B370" s="182">
        <v>42886</v>
      </c>
      <c r="C370" s="107">
        <v>43465</v>
      </c>
      <c r="D370" s="108">
        <v>20</v>
      </c>
      <c r="E370" s="14">
        <v>99000</v>
      </c>
      <c r="F370" s="14">
        <v>15000</v>
      </c>
      <c r="G370" s="14"/>
      <c r="H370" s="58">
        <f t="shared" si="48"/>
        <v>114000</v>
      </c>
      <c r="I370" s="126">
        <v>114000</v>
      </c>
      <c r="J370" s="151"/>
      <c r="K370" s="75"/>
      <c r="L370" s="204"/>
    </row>
    <row r="371" spans="1:39" s="27" customFormat="1" ht="27" customHeight="1" outlineLevel="1" x14ac:dyDescent="0.2">
      <c r="A371" s="51" t="s">
        <v>984</v>
      </c>
      <c r="B371" s="182">
        <v>43251</v>
      </c>
      <c r="C371" s="107">
        <v>43465</v>
      </c>
      <c r="D371" s="108">
        <v>40</v>
      </c>
      <c r="E371" s="14"/>
      <c r="F371" s="14">
        <f t="shared" si="47"/>
        <v>5811.62</v>
      </c>
      <c r="G371" s="14"/>
      <c r="H371" s="58">
        <f t="shared" si="48"/>
        <v>5811.62</v>
      </c>
      <c r="I371" s="126">
        <v>5811.62</v>
      </c>
      <c r="J371" s="151"/>
      <c r="K371" s="75"/>
      <c r="L371" s="204"/>
    </row>
    <row r="372" spans="1:39" s="4" customFormat="1" ht="27" customHeight="1" outlineLevel="1" x14ac:dyDescent="0.2">
      <c r="A372" s="51" t="s">
        <v>985</v>
      </c>
      <c r="B372" s="182">
        <v>43251</v>
      </c>
      <c r="C372" s="107">
        <v>43343</v>
      </c>
      <c r="D372" s="108">
        <v>60</v>
      </c>
      <c r="E372" s="14"/>
      <c r="F372" s="14">
        <f t="shared" si="47"/>
        <v>5016.68</v>
      </c>
      <c r="G372" s="14"/>
      <c r="H372" s="58">
        <f t="shared" si="48"/>
        <v>5016.68</v>
      </c>
      <c r="I372" s="126">
        <v>5016.68</v>
      </c>
      <c r="J372" s="151"/>
      <c r="K372" s="75"/>
      <c r="L372" s="215"/>
    </row>
    <row r="373" spans="1:39" s="27" customFormat="1" ht="27" customHeight="1" outlineLevel="1" x14ac:dyDescent="0.2">
      <c r="A373" s="51" t="s">
        <v>417</v>
      </c>
      <c r="B373" s="182">
        <v>43159</v>
      </c>
      <c r="C373" s="107">
        <v>43465</v>
      </c>
      <c r="D373" s="108">
        <v>30</v>
      </c>
      <c r="E373" s="14"/>
      <c r="F373" s="14">
        <f t="shared" si="47"/>
        <v>51278.59</v>
      </c>
      <c r="G373" s="14"/>
      <c r="H373" s="58">
        <f t="shared" si="48"/>
        <v>51278.59</v>
      </c>
      <c r="I373" s="126">
        <v>51278.59</v>
      </c>
      <c r="J373" s="151"/>
      <c r="K373" s="75"/>
      <c r="L373" s="204"/>
    </row>
    <row r="374" spans="1:39" s="10" customFormat="1" ht="36.75" customHeight="1" outlineLevel="1" x14ac:dyDescent="0.2">
      <c r="A374" s="51" t="s">
        <v>418</v>
      </c>
      <c r="B374" s="182">
        <v>43131</v>
      </c>
      <c r="C374" s="107">
        <v>43343</v>
      </c>
      <c r="D374" s="108">
        <v>30</v>
      </c>
      <c r="E374" s="14"/>
      <c r="F374" s="14">
        <f t="shared" si="47"/>
        <v>5572.87</v>
      </c>
      <c r="G374" s="14"/>
      <c r="H374" s="58">
        <f t="shared" si="48"/>
        <v>5572.87</v>
      </c>
      <c r="I374" s="126">
        <v>5572.87</v>
      </c>
      <c r="J374" s="151"/>
      <c r="K374" s="75"/>
      <c r="L374" s="202"/>
      <c r="M374" s="8"/>
      <c r="N374" s="8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</row>
    <row r="375" spans="1:39" s="10" customFormat="1" ht="30" customHeight="1" outlineLevel="1" x14ac:dyDescent="0.2">
      <c r="A375" s="51" t="s">
        <v>986</v>
      </c>
      <c r="B375" s="182">
        <v>43218</v>
      </c>
      <c r="C375" s="107">
        <v>43465</v>
      </c>
      <c r="D375" s="108">
        <v>40</v>
      </c>
      <c r="E375" s="14"/>
      <c r="F375" s="14">
        <f t="shared" si="47"/>
        <v>4368.1499999999996</v>
      </c>
      <c r="G375" s="14"/>
      <c r="H375" s="58">
        <f t="shared" si="48"/>
        <v>4368.1499999999996</v>
      </c>
      <c r="I375" s="126">
        <v>4368.1499999999996</v>
      </c>
      <c r="J375" s="151"/>
      <c r="K375" s="75"/>
      <c r="L375" s="202"/>
      <c r="M375" s="8"/>
      <c r="N375" s="8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</row>
    <row r="376" spans="1:39" s="10" customFormat="1" ht="30" customHeight="1" outlineLevel="1" x14ac:dyDescent="0.2">
      <c r="A376" s="51" t="s">
        <v>987</v>
      </c>
      <c r="B376" s="182">
        <v>43251</v>
      </c>
      <c r="C376" s="107">
        <v>43465</v>
      </c>
      <c r="D376" s="108">
        <v>40</v>
      </c>
      <c r="E376" s="14"/>
      <c r="F376" s="14">
        <f t="shared" si="47"/>
        <v>6226.02</v>
      </c>
      <c r="G376" s="14"/>
      <c r="H376" s="58">
        <f t="shared" si="48"/>
        <v>6226.02</v>
      </c>
      <c r="I376" s="126">
        <v>6226.02</v>
      </c>
      <c r="J376" s="151"/>
      <c r="K376" s="75"/>
      <c r="L376" s="202"/>
      <c r="M376" s="8"/>
      <c r="N376" s="8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</row>
    <row r="377" spans="1:39" s="27" customFormat="1" ht="27" customHeight="1" outlineLevel="1" x14ac:dyDescent="0.2">
      <c r="A377" s="51" t="s">
        <v>419</v>
      </c>
      <c r="B377" s="182">
        <v>43159</v>
      </c>
      <c r="C377" s="107">
        <v>43465</v>
      </c>
      <c r="D377" s="108">
        <v>40</v>
      </c>
      <c r="E377" s="14"/>
      <c r="F377" s="14">
        <f t="shared" si="47"/>
        <v>10025.11</v>
      </c>
      <c r="G377" s="14"/>
      <c r="H377" s="58">
        <f t="shared" si="48"/>
        <v>10025.11</v>
      </c>
      <c r="I377" s="126">
        <v>10025.11</v>
      </c>
      <c r="J377" s="151"/>
      <c r="K377" s="75"/>
      <c r="L377" s="204"/>
    </row>
    <row r="378" spans="1:39" s="10" customFormat="1" ht="30" customHeight="1" outlineLevel="1" x14ac:dyDescent="0.2">
      <c r="A378" s="51" t="s">
        <v>988</v>
      </c>
      <c r="B378" s="182">
        <v>43251</v>
      </c>
      <c r="C378" s="107">
        <v>43465</v>
      </c>
      <c r="D378" s="108">
        <v>20</v>
      </c>
      <c r="E378" s="14"/>
      <c r="F378" s="14">
        <f t="shared" si="47"/>
        <v>9646.08</v>
      </c>
      <c r="G378" s="14"/>
      <c r="H378" s="58">
        <f t="shared" si="48"/>
        <v>9646.08</v>
      </c>
      <c r="I378" s="126">
        <v>9646.08</v>
      </c>
      <c r="J378" s="151"/>
      <c r="K378" s="75"/>
      <c r="L378" s="202"/>
      <c r="M378" s="8"/>
      <c r="N378" s="8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</row>
    <row r="379" spans="1:39" s="10" customFormat="1" ht="30" customHeight="1" outlineLevel="1" x14ac:dyDescent="0.2">
      <c r="A379" s="51" t="s">
        <v>181</v>
      </c>
      <c r="B379" s="182">
        <v>42947</v>
      </c>
      <c r="C379" s="107">
        <v>43404</v>
      </c>
      <c r="D379" s="108">
        <v>40</v>
      </c>
      <c r="E379" s="14"/>
      <c r="F379" s="14">
        <f t="shared" si="47"/>
        <v>23000</v>
      </c>
      <c r="G379" s="14"/>
      <c r="H379" s="58">
        <f t="shared" si="48"/>
        <v>23000</v>
      </c>
      <c r="I379" s="126">
        <v>23000</v>
      </c>
      <c r="J379" s="151"/>
      <c r="K379" s="75"/>
      <c r="L379" s="202"/>
      <c r="M379" s="8"/>
      <c r="N379" s="8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</row>
    <row r="380" spans="1:39" s="10" customFormat="1" ht="33.75" customHeight="1" outlineLevel="1" x14ac:dyDescent="0.2">
      <c r="A380" s="51" t="s">
        <v>420</v>
      </c>
      <c r="B380" s="182">
        <v>43131</v>
      </c>
      <c r="C380" s="107">
        <v>43465</v>
      </c>
      <c r="D380" s="108">
        <v>20</v>
      </c>
      <c r="E380" s="14"/>
      <c r="F380" s="14">
        <f t="shared" si="47"/>
        <v>11613.28</v>
      </c>
      <c r="G380" s="14"/>
      <c r="H380" s="58">
        <f t="shared" si="48"/>
        <v>11613.28</v>
      </c>
      <c r="I380" s="126">
        <v>11613.28</v>
      </c>
      <c r="J380" s="151"/>
      <c r="K380" s="75"/>
      <c r="L380" s="202"/>
      <c r="M380" s="8"/>
      <c r="N380" s="8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</row>
    <row r="381" spans="1:39" s="4" customFormat="1" ht="25.5" customHeight="1" outlineLevel="1" x14ac:dyDescent="0.2">
      <c r="A381" s="51" t="s">
        <v>989</v>
      </c>
      <c r="B381" s="182">
        <v>43251</v>
      </c>
      <c r="C381" s="107">
        <v>43465</v>
      </c>
      <c r="D381" s="108">
        <v>40</v>
      </c>
      <c r="E381" s="14"/>
      <c r="F381" s="14">
        <f t="shared" si="47"/>
        <v>5132.08</v>
      </c>
      <c r="G381" s="14"/>
      <c r="H381" s="58">
        <f t="shared" si="48"/>
        <v>5132.08</v>
      </c>
      <c r="I381" s="126">
        <v>5132.08</v>
      </c>
      <c r="J381" s="151"/>
      <c r="K381" s="75"/>
      <c r="L381" s="215"/>
    </row>
    <row r="382" spans="1:39" s="27" customFormat="1" ht="31.5" customHeight="1" outlineLevel="1" x14ac:dyDescent="0.2">
      <c r="A382" s="51" t="s">
        <v>182</v>
      </c>
      <c r="B382" s="182">
        <v>42727</v>
      </c>
      <c r="C382" s="107">
        <v>43465</v>
      </c>
      <c r="D382" s="108">
        <v>30</v>
      </c>
      <c r="E382" s="14"/>
      <c r="F382" s="14">
        <f t="shared" si="47"/>
        <v>3380.75</v>
      </c>
      <c r="G382" s="14"/>
      <c r="H382" s="58">
        <f t="shared" si="48"/>
        <v>3380.75</v>
      </c>
      <c r="I382" s="126">
        <v>3380.75</v>
      </c>
      <c r="J382" s="151"/>
      <c r="K382" s="75"/>
      <c r="L382" s="204"/>
    </row>
    <row r="383" spans="1:39" s="27" customFormat="1" ht="26.25" customHeight="1" outlineLevel="1" x14ac:dyDescent="0.2">
      <c r="A383" s="51" t="s">
        <v>990</v>
      </c>
      <c r="B383" s="182">
        <v>43251</v>
      </c>
      <c r="C383" s="107">
        <v>43404</v>
      </c>
      <c r="D383" s="108">
        <v>60</v>
      </c>
      <c r="E383" s="14"/>
      <c r="F383" s="14">
        <f t="shared" si="47"/>
        <v>7469.24</v>
      </c>
      <c r="G383" s="14"/>
      <c r="H383" s="58">
        <f t="shared" si="48"/>
        <v>7469.24</v>
      </c>
      <c r="I383" s="126">
        <v>7469.24</v>
      </c>
      <c r="J383" s="151"/>
      <c r="K383" s="75"/>
      <c r="L383" s="204"/>
    </row>
    <row r="384" spans="1:39" s="10" customFormat="1" ht="30.75" customHeight="1" outlineLevel="1" x14ac:dyDescent="0.2">
      <c r="A384" s="51" t="s">
        <v>421</v>
      </c>
      <c r="B384" s="182">
        <v>43039</v>
      </c>
      <c r="C384" s="107">
        <v>43371</v>
      </c>
      <c r="D384" s="108">
        <v>70</v>
      </c>
      <c r="E384" s="14"/>
      <c r="F384" s="14">
        <f t="shared" si="47"/>
        <v>5000</v>
      </c>
      <c r="G384" s="14"/>
      <c r="H384" s="58">
        <f t="shared" si="48"/>
        <v>5000</v>
      </c>
      <c r="I384" s="126">
        <v>5000</v>
      </c>
      <c r="J384" s="151"/>
      <c r="K384" s="75"/>
      <c r="L384" s="202"/>
      <c r="M384" s="8"/>
      <c r="N384" s="8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</row>
    <row r="385" spans="1:39" s="10" customFormat="1" ht="24.75" customHeight="1" outlineLevel="1" x14ac:dyDescent="0.2">
      <c r="A385" s="51" t="s">
        <v>183</v>
      </c>
      <c r="B385" s="182">
        <v>42886</v>
      </c>
      <c r="C385" s="107">
        <v>43404</v>
      </c>
      <c r="D385" s="108">
        <v>50</v>
      </c>
      <c r="E385" s="14"/>
      <c r="F385" s="14">
        <f t="shared" si="47"/>
        <v>10000</v>
      </c>
      <c r="G385" s="14"/>
      <c r="H385" s="58">
        <f t="shared" si="48"/>
        <v>10000</v>
      </c>
      <c r="I385" s="126">
        <v>10000</v>
      </c>
      <c r="J385" s="151"/>
      <c r="K385" s="75"/>
      <c r="L385" s="202"/>
      <c r="M385" s="8"/>
      <c r="N385" s="8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</row>
    <row r="386" spans="1:39" s="27" customFormat="1" ht="27" customHeight="1" outlineLevel="1" x14ac:dyDescent="0.2">
      <c r="A386" s="51" t="s">
        <v>46</v>
      </c>
      <c r="B386" s="103">
        <v>42389</v>
      </c>
      <c r="C386" s="107">
        <v>43465</v>
      </c>
      <c r="D386" s="108">
        <v>20</v>
      </c>
      <c r="E386" s="14"/>
      <c r="F386" s="14">
        <f t="shared" si="47"/>
        <v>13943.55</v>
      </c>
      <c r="G386" s="14"/>
      <c r="H386" s="58">
        <f t="shared" si="48"/>
        <v>13943.55</v>
      </c>
      <c r="I386" s="126">
        <v>13943.55</v>
      </c>
      <c r="J386" s="151"/>
      <c r="K386" s="75"/>
      <c r="L386" s="204"/>
    </row>
    <row r="387" spans="1:39" s="27" customFormat="1" ht="27" customHeight="1" outlineLevel="1" x14ac:dyDescent="0.2">
      <c r="A387" s="51" t="s">
        <v>271</v>
      </c>
      <c r="B387" s="182">
        <v>43069</v>
      </c>
      <c r="C387" s="107">
        <v>43465</v>
      </c>
      <c r="D387" s="108">
        <v>20</v>
      </c>
      <c r="E387" s="14"/>
      <c r="F387" s="14">
        <f t="shared" si="47"/>
        <v>15000</v>
      </c>
      <c r="G387" s="14"/>
      <c r="H387" s="58">
        <f t="shared" si="48"/>
        <v>15000</v>
      </c>
      <c r="I387" s="126">
        <v>15000</v>
      </c>
      <c r="J387" s="151"/>
      <c r="K387" s="75"/>
      <c r="L387" s="204"/>
    </row>
    <row r="388" spans="1:39" s="27" customFormat="1" ht="27" customHeight="1" outlineLevel="1" x14ac:dyDescent="0.2">
      <c r="A388" s="51" t="s">
        <v>272</v>
      </c>
      <c r="B388" s="182">
        <v>43069</v>
      </c>
      <c r="C388" s="107">
        <v>43465</v>
      </c>
      <c r="D388" s="108">
        <v>20</v>
      </c>
      <c r="E388" s="14"/>
      <c r="F388" s="14">
        <f t="shared" si="47"/>
        <v>15000</v>
      </c>
      <c r="G388" s="14"/>
      <c r="H388" s="58">
        <f t="shared" si="48"/>
        <v>15000</v>
      </c>
      <c r="I388" s="126">
        <v>15000</v>
      </c>
      <c r="J388" s="151"/>
      <c r="K388" s="75"/>
      <c r="L388" s="204"/>
    </row>
    <row r="389" spans="1:39" s="27" customFormat="1" ht="27" customHeight="1" outlineLevel="1" x14ac:dyDescent="0.2">
      <c r="A389" s="51" t="s">
        <v>51</v>
      </c>
      <c r="B389" s="182">
        <v>43218</v>
      </c>
      <c r="C389" s="107">
        <v>43465</v>
      </c>
      <c r="D389" s="108">
        <v>20</v>
      </c>
      <c r="E389" s="14">
        <v>42000</v>
      </c>
      <c r="F389" s="14">
        <v>19502.580000000002</v>
      </c>
      <c r="G389" s="14"/>
      <c r="H389" s="58">
        <f t="shared" si="48"/>
        <v>61502.58</v>
      </c>
      <c r="I389" s="126">
        <v>61502.58</v>
      </c>
      <c r="J389" s="151"/>
      <c r="K389" s="75"/>
      <c r="L389" s="204"/>
    </row>
    <row r="390" spans="1:39" s="27" customFormat="1" ht="27" customHeight="1" outlineLevel="1" x14ac:dyDescent="0.2">
      <c r="A390" s="51" t="s">
        <v>991</v>
      </c>
      <c r="B390" s="182">
        <v>43218</v>
      </c>
      <c r="C390" s="107">
        <v>43371</v>
      </c>
      <c r="D390" s="108">
        <v>60</v>
      </c>
      <c r="E390" s="14"/>
      <c r="F390" s="14">
        <f t="shared" si="47"/>
        <v>5572.87</v>
      </c>
      <c r="G390" s="14"/>
      <c r="H390" s="58">
        <f t="shared" si="48"/>
        <v>5572.87</v>
      </c>
      <c r="I390" s="126">
        <v>5572.87</v>
      </c>
      <c r="J390" s="151"/>
      <c r="K390" s="75"/>
      <c r="L390" s="204"/>
    </row>
    <row r="391" spans="1:39" s="27" customFormat="1" ht="27" customHeight="1" outlineLevel="1" x14ac:dyDescent="0.2">
      <c r="A391" s="51" t="s">
        <v>992</v>
      </c>
      <c r="B391" s="182">
        <v>43251</v>
      </c>
      <c r="C391" s="107">
        <v>43465</v>
      </c>
      <c r="D391" s="108">
        <v>20</v>
      </c>
      <c r="E391" s="14"/>
      <c r="F391" s="14">
        <f t="shared" si="47"/>
        <v>9000.1</v>
      </c>
      <c r="G391" s="14"/>
      <c r="H391" s="58">
        <f t="shared" si="48"/>
        <v>9000.1</v>
      </c>
      <c r="I391" s="126">
        <v>9000.1</v>
      </c>
      <c r="J391" s="151"/>
      <c r="K391" s="75"/>
      <c r="L391" s="204"/>
    </row>
    <row r="392" spans="1:39" s="27" customFormat="1" ht="27" customHeight="1" outlineLevel="1" x14ac:dyDescent="0.2">
      <c r="A392" s="51" t="s">
        <v>993</v>
      </c>
      <c r="B392" s="182">
        <v>43251</v>
      </c>
      <c r="C392" s="107">
        <v>43465</v>
      </c>
      <c r="D392" s="108">
        <v>40</v>
      </c>
      <c r="E392" s="14"/>
      <c r="F392" s="14">
        <f t="shared" si="47"/>
        <v>4503.38</v>
      </c>
      <c r="G392" s="14"/>
      <c r="H392" s="58">
        <f t="shared" si="48"/>
        <v>4503.38</v>
      </c>
      <c r="I392" s="126">
        <v>4503.38</v>
      </c>
      <c r="J392" s="151"/>
      <c r="K392" s="75"/>
      <c r="L392" s="204"/>
    </row>
    <row r="393" spans="1:39" s="27" customFormat="1" ht="27" customHeight="1" outlineLevel="1" x14ac:dyDescent="0.2">
      <c r="A393" s="51" t="s">
        <v>994</v>
      </c>
      <c r="B393" s="182">
        <v>43251</v>
      </c>
      <c r="C393" s="107">
        <v>43465</v>
      </c>
      <c r="D393" s="108">
        <v>40</v>
      </c>
      <c r="E393" s="14"/>
      <c r="F393" s="14">
        <f t="shared" si="47"/>
        <v>6183.68</v>
      </c>
      <c r="G393" s="14"/>
      <c r="H393" s="58">
        <f t="shared" si="48"/>
        <v>6183.68</v>
      </c>
      <c r="I393" s="126">
        <v>6183.68</v>
      </c>
      <c r="J393" s="151"/>
      <c r="K393" s="75"/>
      <c r="L393" s="204"/>
    </row>
    <row r="394" spans="1:39" s="27" customFormat="1" ht="27" customHeight="1" outlineLevel="1" x14ac:dyDescent="0.2">
      <c r="A394" s="51" t="s">
        <v>995</v>
      </c>
      <c r="B394" s="182">
        <v>43218</v>
      </c>
      <c r="C394" s="107">
        <v>43465</v>
      </c>
      <c r="D394" s="108">
        <v>20</v>
      </c>
      <c r="E394" s="14"/>
      <c r="F394" s="14">
        <f t="shared" si="47"/>
        <v>9541.26</v>
      </c>
      <c r="G394" s="14"/>
      <c r="H394" s="58">
        <f t="shared" si="48"/>
        <v>9541.26</v>
      </c>
      <c r="I394" s="126">
        <v>9541.26</v>
      </c>
      <c r="J394" s="151"/>
      <c r="K394" s="75"/>
      <c r="L394" s="204"/>
    </row>
    <row r="395" spans="1:39" s="27" customFormat="1" ht="27" customHeight="1" outlineLevel="1" x14ac:dyDescent="0.2">
      <c r="A395" s="51" t="s">
        <v>996</v>
      </c>
      <c r="B395" s="182">
        <v>43280</v>
      </c>
      <c r="C395" s="107">
        <v>43465</v>
      </c>
      <c r="D395" s="108">
        <v>20</v>
      </c>
      <c r="E395" s="14"/>
      <c r="F395" s="14">
        <f t="shared" si="47"/>
        <v>6178.34</v>
      </c>
      <c r="G395" s="14"/>
      <c r="H395" s="58">
        <f t="shared" si="48"/>
        <v>6178.34</v>
      </c>
      <c r="I395" s="126">
        <v>6178.34</v>
      </c>
      <c r="J395" s="151"/>
      <c r="K395" s="75"/>
      <c r="L395" s="204"/>
    </row>
    <row r="396" spans="1:39" s="27" customFormat="1" ht="27" customHeight="1" outlineLevel="1" x14ac:dyDescent="0.2">
      <c r="A396" s="51" t="s">
        <v>184</v>
      </c>
      <c r="B396" s="182">
        <v>42704</v>
      </c>
      <c r="C396" s="107">
        <v>43343</v>
      </c>
      <c r="D396" s="108">
        <v>70</v>
      </c>
      <c r="E396" s="14">
        <v>37696.49</v>
      </c>
      <c r="F396" s="14"/>
      <c r="G396" s="14"/>
      <c r="H396" s="58">
        <f t="shared" si="48"/>
        <v>37696.49</v>
      </c>
      <c r="I396" s="126">
        <v>37696.49</v>
      </c>
      <c r="J396" s="151"/>
      <c r="K396" s="75"/>
      <c r="L396" s="204"/>
    </row>
    <row r="397" spans="1:39" s="27" customFormat="1" ht="27" customHeight="1" outlineLevel="1" x14ac:dyDescent="0.2">
      <c r="A397" s="51" t="s">
        <v>997</v>
      </c>
      <c r="B397" s="182">
        <v>43131</v>
      </c>
      <c r="C397" s="107">
        <v>43465</v>
      </c>
      <c r="D397" s="108">
        <v>40</v>
      </c>
      <c r="E397" s="14"/>
      <c r="F397" s="14">
        <f t="shared" si="47"/>
        <v>5604.42</v>
      </c>
      <c r="G397" s="14"/>
      <c r="H397" s="58">
        <f t="shared" si="48"/>
        <v>5604.42</v>
      </c>
      <c r="I397" s="126">
        <v>5604.42</v>
      </c>
      <c r="J397" s="151"/>
      <c r="K397" s="75"/>
      <c r="L397" s="204"/>
    </row>
    <row r="398" spans="1:39" s="27" customFormat="1" ht="27" customHeight="1" outlineLevel="1" x14ac:dyDescent="0.2">
      <c r="A398" s="51" t="s">
        <v>185</v>
      </c>
      <c r="B398" s="182">
        <v>42655</v>
      </c>
      <c r="C398" s="107">
        <v>43371</v>
      </c>
      <c r="D398" s="108">
        <v>60</v>
      </c>
      <c r="E398" s="14"/>
      <c r="F398" s="14">
        <f t="shared" si="47"/>
        <v>8817.58</v>
      </c>
      <c r="G398" s="14"/>
      <c r="H398" s="58">
        <f t="shared" si="48"/>
        <v>8817.58</v>
      </c>
      <c r="I398" s="126">
        <v>8817.58</v>
      </c>
      <c r="J398" s="151"/>
      <c r="K398" s="75"/>
      <c r="L398" s="204"/>
    </row>
    <row r="399" spans="1:39" s="27" customFormat="1" ht="27" customHeight="1" outlineLevel="1" x14ac:dyDescent="0.2">
      <c r="A399" s="51" t="s">
        <v>422</v>
      </c>
      <c r="B399" s="103">
        <v>42478</v>
      </c>
      <c r="C399" s="107">
        <v>43465</v>
      </c>
      <c r="D399" s="108">
        <v>40</v>
      </c>
      <c r="E399" s="14"/>
      <c r="F399" s="14">
        <f t="shared" si="47"/>
        <v>35119.919999999998</v>
      </c>
      <c r="G399" s="14"/>
      <c r="H399" s="58">
        <f t="shared" si="48"/>
        <v>35119.919999999998</v>
      </c>
      <c r="I399" s="126">
        <v>35119.919999999998</v>
      </c>
      <c r="J399" s="151"/>
      <c r="K399" s="75"/>
      <c r="L399" s="204"/>
    </row>
    <row r="400" spans="1:39" s="27" customFormat="1" ht="27" customHeight="1" outlineLevel="1" x14ac:dyDescent="0.2">
      <c r="A400" s="51" t="s">
        <v>423</v>
      </c>
      <c r="B400" s="182">
        <v>43039</v>
      </c>
      <c r="C400" s="107">
        <v>43465</v>
      </c>
      <c r="D400" s="108">
        <v>20</v>
      </c>
      <c r="E400" s="14"/>
      <c r="F400" s="14">
        <f t="shared" si="47"/>
        <v>121095.94</v>
      </c>
      <c r="G400" s="14"/>
      <c r="H400" s="58">
        <f t="shared" si="48"/>
        <v>121095.94</v>
      </c>
      <c r="I400" s="126">
        <v>121095.94</v>
      </c>
      <c r="J400" s="151"/>
      <c r="K400" s="75"/>
      <c r="L400" s="204"/>
    </row>
    <row r="401" spans="1:12" s="27" customFormat="1" ht="27" customHeight="1" outlineLevel="1" x14ac:dyDescent="0.2">
      <c r="A401" s="51" t="s">
        <v>186</v>
      </c>
      <c r="B401" s="182">
        <v>42613</v>
      </c>
      <c r="C401" s="107">
        <v>43371</v>
      </c>
      <c r="D401" s="108">
        <v>60</v>
      </c>
      <c r="E401" s="14"/>
      <c r="F401" s="14">
        <f t="shared" si="47"/>
        <v>36506.99</v>
      </c>
      <c r="G401" s="14"/>
      <c r="H401" s="58">
        <f t="shared" si="48"/>
        <v>36506.99</v>
      </c>
      <c r="I401" s="126">
        <v>36506.99</v>
      </c>
      <c r="J401" s="151"/>
      <c r="K401" s="146"/>
      <c r="L401" s="204"/>
    </row>
    <row r="402" spans="1:12" s="27" customFormat="1" ht="27" customHeight="1" outlineLevel="1" x14ac:dyDescent="0.2">
      <c r="A402" s="51" t="s">
        <v>187</v>
      </c>
      <c r="B402" s="182">
        <v>42885</v>
      </c>
      <c r="C402" s="107">
        <v>43465</v>
      </c>
      <c r="D402" s="108">
        <v>20</v>
      </c>
      <c r="E402" s="14"/>
      <c r="F402" s="14">
        <f t="shared" si="47"/>
        <v>23000</v>
      </c>
      <c r="G402" s="14"/>
      <c r="H402" s="58">
        <f t="shared" si="48"/>
        <v>23000</v>
      </c>
      <c r="I402" s="126">
        <v>23000</v>
      </c>
      <c r="J402" s="151"/>
      <c r="K402" s="146"/>
      <c r="L402" s="204"/>
    </row>
    <row r="403" spans="1:12" s="27" customFormat="1" ht="23.25" customHeight="1" outlineLevel="1" x14ac:dyDescent="0.2">
      <c r="A403" s="51" t="s">
        <v>998</v>
      </c>
      <c r="B403" s="182">
        <v>43220</v>
      </c>
      <c r="C403" s="107">
        <v>43465</v>
      </c>
      <c r="D403" s="108">
        <v>20</v>
      </c>
      <c r="E403" s="14"/>
      <c r="F403" s="14">
        <f t="shared" si="47"/>
        <v>4562.34</v>
      </c>
      <c r="G403" s="14"/>
      <c r="H403" s="58">
        <f t="shared" si="48"/>
        <v>4562.34</v>
      </c>
      <c r="I403" s="126">
        <v>4562.34</v>
      </c>
      <c r="J403" s="151"/>
      <c r="K403" s="146"/>
      <c r="L403" s="204"/>
    </row>
    <row r="404" spans="1:12" s="4" customFormat="1" ht="17.25" customHeight="1" outlineLevel="1" x14ac:dyDescent="0.2">
      <c r="A404" s="51" t="s">
        <v>188</v>
      </c>
      <c r="B404" s="182">
        <v>43039</v>
      </c>
      <c r="C404" s="107">
        <v>43371</v>
      </c>
      <c r="D404" s="108">
        <v>50</v>
      </c>
      <c r="E404" s="14">
        <v>16361.21</v>
      </c>
      <c r="F404" s="14"/>
      <c r="G404" s="14"/>
      <c r="H404" s="58">
        <f t="shared" si="48"/>
        <v>16361.21</v>
      </c>
      <c r="I404" s="126">
        <v>16361.21</v>
      </c>
      <c r="J404" s="151"/>
      <c r="K404" s="146"/>
      <c r="L404" s="215"/>
    </row>
    <row r="405" spans="1:12" s="11" customFormat="1" ht="27" customHeight="1" outlineLevel="1" x14ac:dyDescent="0.2">
      <c r="A405" s="51" t="s">
        <v>189</v>
      </c>
      <c r="B405" s="182">
        <v>42886</v>
      </c>
      <c r="C405" s="107">
        <v>43465</v>
      </c>
      <c r="D405" s="108">
        <v>20</v>
      </c>
      <c r="E405" s="14"/>
      <c r="F405" s="14">
        <f t="shared" si="47"/>
        <v>54990.5</v>
      </c>
      <c r="G405" s="14"/>
      <c r="H405" s="58">
        <f t="shared" si="48"/>
        <v>54990.5</v>
      </c>
      <c r="I405" s="126">
        <v>54990.5</v>
      </c>
      <c r="J405" s="151"/>
      <c r="K405" s="146"/>
      <c r="L405" s="206"/>
    </row>
    <row r="406" spans="1:12" s="27" customFormat="1" x14ac:dyDescent="0.2">
      <c r="A406" s="61"/>
      <c r="B406" s="103"/>
      <c r="C406" s="103"/>
      <c r="D406" s="194"/>
      <c r="E406" s="68">
        <f>SUM(E304:E405)</f>
        <v>240057.69999999998</v>
      </c>
      <c r="F406" s="68">
        <f>SUM(F304:F405)</f>
        <v>1468112.8699999999</v>
      </c>
      <c r="G406" s="68"/>
      <c r="H406" s="58">
        <f>SUM(H304:H405)</f>
        <v>1708170.5700000003</v>
      </c>
      <c r="I406" s="58">
        <f>SUM(I304:I405)</f>
        <v>1708170.5700000003</v>
      </c>
      <c r="J406" s="89"/>
      <c r="K406" s="89"/>
      <c r="L406" s="204"/>
    </row>
    <row r="407" spans="1:12" s="27" customFormat="1" ht="24" x14ac:dyDescent="0.2">
      <c r="A407" s="24" t="s">
        <v>424</v>
      </c>
      <c r="B407" s="104"/>
      <c r="C407" s="103"/>
      <c r="D407" s="194"/>
      <c r="E407" s="14"/>
      <c r="F407" s="14"/>
      <c r="G407" s="14"/>
      <c r="H407" s="58"/>
      <c r="I407" s="52"/>
      <c r="J407" s="85"/>
      <c r="K407" s="30"/>
      <c r="L407" s="204"/>
    </row>
    <row r="408" spans="1:12" s="27" customFormat="1" ht="24" outlineLevel="1" x14ac:dyDescent="0.2">
      <c r="A408" s="187" t="s">
        <v>999</v>
      </c>
      <c r="B408" s="116">
        <v>43070</v>
      </c>
      <c r="C408" s="117">
        <v>43403</v>
      </c>
      <c r="D408" s="108">
        <v>50</v>
      </c>
      <c r="E408" s="167">
        <v>19718.759999999998</v>
      </c>
      <c r="F408" s="168"/>
      <c r="G408" s="169"/>
      <c r="H408" s="170">
        <v>19718.759999999998</v>
      </c>
      <c r="I408" s="171">
        <v>19718.759999999998</v>
      </c>
      <c r="J408" s="90"/>
      <c r="K408" s="90"/>
      <c r="L408" s="204"/>
    </row>
    <row r="409" spans="1:12" s="27" customFormat="1" ht="24" outlineLevel="1" x14ac:dyDescent="0.2">
      <c r="A409" s="187" t="s">
        <v>1000</v>
      </c>
      <c r="B409" s="116">
        <v>43009</v>
      </c>
      <c r="C409" s="117">
        <v>43465</v>
      </c>
      <c r="D409" s="108">
        <v>20</v>
      </c>
      <c r="E409" s="168"/>
      <c r="F409" s="167">
        <v>8000</v>
      </c>
      <c r="G409" s="169"/>
      <c r="H409" s="170">
        <v>8000</v>
      </c>
      <c r="I409" s="171">
        <v>8000</v>
      </c>
      <c r="J409" s="90"/>
      <c r="K409" s="90"/>
      <c r="L409" s="204"/>
    </row>
    <row r="410" spans="1:12" s="27" customFormat="1" ht="24" outlineLevel="1" x14ac:dyDescent="0.2">
      <c r="A410" s="187" t="s">
        <v>1001</v>
      </c>
      <c r="B410" s="116">
        <v>43080</v>
      </c>
      <c r="C410" s="117">
        <v>43695</v>
      </c>
      <c r="D410" s="108">
        <v>50</v>
      </c>
      <c r="E410" s="168">
        <v>5852.01</v>
      </c>
      <c r="F410" s="168">
        <v>6200</v>
      </c>
      <c r="G410" s="169"/>
      <c r="H410" s="170">
        <v>12052.01</v>
      </c>
      <c r="I410" s="171">
        <v>12052.01</v>
      </c>
      <c r="J410" s="90"/>
      <c r="K410" s="90"/>
      <c r="L410" s="204"/>
    </row>
    <row r="411" spans="1:12" s="27" customFormat="1" ht="12.75" outlineLevel="1" x14ac:dyDescent="0.2">
      <c r="A411" s="187" t="s">
        <v>1002</v>
      </c>
      <c r="B411" s="116">
        <v>43281</v>
      </c>
      <c r="C411" s="117">
        <v>43407</v>
      </c>
      <c r="D411" s="108">
        <v>20</v>
      </c>
      <c r="E411" s="168"/>
      <c r="F411" s="167">
        <v>20400</v>
      </c>
      <c r="G411" s="169"/>
      <c r="H411" s="170">
        <v>20400</v>
      </c>
      <c r="I411" s="171">
        <v>20400</v>
      </c>
      <c r="J411" s="90"/>
      <c r="K411" s="90"/>
      <c r="L411" s="204"/>
    </row>
    <row r="412" spans="1:12" s="27" customFormat="1" ht="24" outlineLevel="1" x14ac:dyDescent="0.2">
      <c r="A412" s="187" t="s">
        <v>1003</v>
      </c>
      <c r="B412" s="116">
        <v>43220</v>
      </c>
      <c r="C412" s="117">
        <v>43438</v>
      </c>
      <c r="D412" s="108">
        <v>50</v>
      </c>
      <c r="E412" s="168">
        <v>10900</v>
      </c>
      <c r="F412" s="168">
        <v>9700</v>
      </c>
      <c r="G412" s="169"/>
      <c r="H412" s="170">
        <v>20600</v>
      </c>
      <c r="I412" s="171">
        <v>20600</v>
      </c>
      <c r="J412" s="90"/>
      <c r="K412" s="90"/>
      <c r="L412" s="204"/>
    </row>
    <row r="413" spans="1:12" s="27" customFormat="1" ht="24" outlineLevel="1" x14ac:dyDescent="0.2">
      <c r="A413" s="187" t="s">
        <v>1004</v>
      </c>
      <c r="B413" s="116">
        <v>43220</v>
      </c>
      <c r="C413" s="117">
        <v>43435</v>
      </c>
      <c r="D413" s="108">
        <v>20</v>
      </c>
      <c r="E413" s="168"/>
      <c r="F413" s="167">
        <v>6000</v>
      </c>
      <c r="G413" s="169"/>
      <c r="H413" s="170">
        <v>6000</v>
      </c>
      <c r="I413" s="171">
        <v>6000</v>
      </c>
      <c r="J413" s="90"/>
      <c r="K413" s="90"/>
      <c r="L413" s="204"/>
    </row>
    <row r="414" spans="1:12" s="27" customFormat="1" ht="24" outlineLevel="1" x14ac:dyDescent="0.2">
      <c r="A414" s="187" t="s">
        <v>1005</v>
      </c>
      <c r="B414" s="116">
        <v>43220</v>
      </c>
      <c r="C414" s="117">
        <v>43414</v>
      </c>
      <c r="D414" s="108">
        <v>50</v>
      </c>
      <c r="E414" s="168">
        <v>3400.06</v>
      </c>
      <c r="F414" s="168">
        <v>6500</v>
      </c>
      <c r="G414" s="169"/>
      <c r="H414" s="170">
        <v>9900.06</v>
      </c>
      <c r="I414" s="171">
        <v>9900.06</v>
      </c>
      <c r="J414" s="90"/>
      <c r="K414" s="90"/>
      <c r="L414" s="204"/>
    </row>
    <row r="415" spans="1:12" s="27" customFormat="1" ht="24" outlineLevel="1" x14ac:dyDescent="0.2">
      <c r="A415" s="187" t="s">
        <v>1006</v>
      </c>
      <c r="B415" s="116">
        <v>43220</v>
      </c>
      <c r="C415" s="117">
        <v>43434</v>
      </c>
      <c r="D415" s="108">
        <v>20</v>
      </c>
      <c r="E415" s="168"/>
      <c r="F415" s="167">
        <v>6500</v>
      </c>
      <c r="G415" s="169"/>
      <c r="H415" s="170">
        <v>6500</v>
      </c>
      <c r="I415" s="171">
        <v>6500</v>
      </c>
      <c r="J415" s="90"/>
      <c r="K415" s="90"/>
      <c r="L415" s="204"/>
    </row>
    <row r="416" spans="1:12" s="27" customFormat="1" ht="24" outlineLevel="1" x14ac:dyDescent="0.2">
      <c r="A416" s="187" t="s">
        <v>1007</v>
      </c>
      <c r="B416" s="116">
        <v>43220</v>
      </c>
      <c r="C416" s="117">
        <v>43433</v>
      </c>
      <c r="D416" s="108">
        <v>20</v>
      </c>
      <c r="E416" s="168"/>
      <c r="F416" s="167">
        <v>8600</v>
      </c>
      <c r="G416" s="169"/>
      <c r="H416" s="170">
        <v>8600</v>
      </c>
      <c r="I416" s="171">
        <v>8600</v>
      </c>
      <c r="J416" s="90"/>
      <c r="K416" s="90"/>
      <c r="L416" s="204"/>
    </row>
    <row r="417" spans="1:12" s="27" customFormat="1" ht="24" outlineLevel="1" x14ac:dyDescent="0.2">
      <c r="A417" s="187" t="s">
        <v>1008</v>
      </c>
      <c r="B417" s="116">
        <v>43281</v>
      </c>
      <c r="C417" s="117">
        <v>43459</v>
      </c>
      <c r="D417" s="108">
        <v>20</v>
      </c>
      <c r="E417" s="168"/>
      <c r="F417" s="167">
        <v>3400</v>
      </c>
      <c r="G417" s="169"/>
      <c r="H417" s="170">
        <v>3400</v>
      </c>
      <c r="I417" s="171">
        <v>3400</v>
      </c>
      <c r="J417" s="90"/>
      <c r="K417" s="90"/>
      <c r="L417" s="204"/>
    </row>
    <row r="418" spans="1:12" s="27" customFormat="1" ht="12.75" outlineLevel="1" x14ac:dyDescent="0.2">
      <c r="A418" s="187" t="s">
        <v>1009</v>
      </c>
      <c r="B418" s="116" t="s">
        <v>1010</v>
      </c>
      <c r="C418" s="117">
        <v>43516</v>
      </c>
      <c r="D418" s="108">
        <v>50</v>
      </c>
      <c r="E418" s="167">
        <v>12194.71</v>
      </c>
      <c r="F418" s="168"/>
      <c r="G418" s="169"/>
      <c r="H418" s="170">
        <v>12194.71</v>
      </c>
      <c r="I418" s="171">
        <v>12194.71</v>
      </c>
      <c r="J418" s="90"/>
      <c r="K418" s="90"/>
      <c r="L418" s="204"/>
    </row>
    <row r="419" spans="1:12" s="27" customFormat="1" ht="12.75" outlineLevel="1" x14ac:dyDescent="0.2">
      <c r="A419" s="187" t="s">
        <v>1011</v>
      </c>
      <c r="B419" s="116">
        <v>43251</v>
      </c>
      <c r="C419" s="117">
        <v>43476</v>
      </c>
      <c r="D419" s="108">
        <v>50</v>
      </c>
      <c r="E419" s="167">
        <v>4884.78</v>
      </c>
      <c r="F419" s="168"/>
      <c r="G419" s="169"/>
      <c r="H419" s="170">
        <v>4884.78</v>
      </c>
      <c r="I419" s="171">
        <v>4884.78</v>
      </c>
      <c r="J419" s="90"/>
      <c r="K419" s="90"/>
      <c r="L419" s="204"/>
    </row>
    <row r="420" spans="1:12" s="27" customFormat="1" ht="12.75" outlineLevel="1" x14ac:dyDescent="0.2">
      <c r="A420" s="187" t="s">
        <v>1012</v>
      </c>
      <c r="B420" s="116">
        <v>43251</v>
      </c>
      <c r="C420" s="117">
        <v>43522</v>
      </c>
      <c r="D420" s="108">
        <v>50</v>
      </c>
      <c r="E420" s="167">
        <v>5268.59</v>
      </c>
      <c r="F420" s="168"/>
      <c r="G420" s="169"/>
      <c r="H420" s="170">
        <v>5268.59</v>
      </c>
      <c r="I420" s="171">
        <v>5268.59</v>
      </c>
      <c r="J420" s="90"/>
      <c r="K420" s="90"/>
      <c r="L420" s="204"/>
    </row>
    <row r="421" spans="1:12" s="27" customFormat="1" ht="12.75" outlineLevel="1" x14ac:dyDescent="0.2">
      <c r="A421" s="187" t="s">
        <v>1013</v>
      </c>
      <c r="B421" s="116">
        <v>43281</v>
      </c>
      <c r="C421" s="117">
        <v>43511</v>
      </c>
      <c r="D421" s="108">
        <v>50</v>
      </c>
      <c r="E421" s="167">
        <v>12506.59</v>
      </c>
      <c r="F421" s="168"/>
      <c r="G421" s="169"/>
      <c r="H421" s="170">
        <v>12506.59</v>
      </c>
      <c r="I421" s="171">
        <v>12506.59</v>
      </c>
      <c r="J421" s="90"/>
      <c r="K421" s="90"/>
      <c r="L421" s="204"/>
    </row>
    <row r="422" spans="1:12" s="27" customFormat="1" ht="12.75" outlineLevel="1" x14ac:dyDescent="0.2">
      <c r="A422" s="187" t="s">
        <v>1014</v>
      </c>
      <c r="B422" s="116">
        <v>43281</v>
      </c>
      <c r="C422" s="117">
        <v>43565</v>
      </c>
      <c r="D422" s="108">
        <v>50</v>
      </c>
      <c r="E422" s="167">
        <v>21692.05</v>
      </c>
      <c r="F422" s="168"/>
      <c r="G422" s="169"/>
      <c r="H422" s="170">
        <v>21692.05</v>
      </c>
      <c r="I422" s="171">
        <v>21692.05</v>
      </c>
      <c r="J422" s="90"/>
      <c r="K422" s="90"/>
      <c r="L422" s="204"/>
    </row>
    <row r="423" spans="1:12" s="27" customFormat="1" ht="12.75" outlineLevel="1" x14ac:dyDescent="0.2">
      <c r="A423" s="187" t="s">
        <v>425</v>
      </c>
      <c r="B423" s="116">
        <v>43130</v>
      </c>
      <c r="C423" s="117">
        <v>43389</v>
      </c>
      <c r="D423" s="108">
        <v>20</v>
      </c>
      <c r="E423" s="168"/>
      <c r="F423" s="167">
        <v>6600</v>
      </c>
      <c r="G423" s="169"/>
      <c r="H423" s="170">
        <v>6600</v>
      </c>
      <c r="I423" s="171">
        <v>6600</v>
      </c>
      <c r="J423" s="90"/>
      <c r="K423" s="90"/>
      <c r="L423" s="204"/>
    </row>
    <row r="424" spans="1:12" s="27" customFormat="1" ht="24" outlineLevel="1" x14ac:dyDescent="0.2">
      <c r="A424" s="187" t="s">
        <v>426</v>
      </c>
      <c r="B424" s="116">
        <v>43130</v>
      </c>
      <c r="C424" s="117">
        <v>43384</v>
      </c>
      <c r="D424" s="108">
        <v>50</v>
      </c>
      <c r="E424" s="167">
        <v>19394.22</v>
      </c>
      <c r="F424" s="168"/>
      <c r="G424" s="169"/>
      <c r="H424" s="170">
        <v>19394.22</v>
      </c>
      <c r="I424" s="171">
        <v>19394.22</v>
      </c>
      <c r="J424" s="90"/>
      <c r="K424" s="90"/>
      <c r="L424" s="204"/>
    </row>
    <row r="425" spans="1:12" s="27" customFormat="1" ht="12.75" outlineLevel="1" x14ac:dyDescent="0.2">
      <c r="A425" s="187" t="s">
        <v>1015</v>
      </c>
      <c r="B425" s="116">
        <v>43281</v>
      </c>
      <c r="C425" s="117">
        <v>43495</v>
      </c>
      <c r="D425" s="108">
        <v>50</v>
      </c>
      <c r="E425" s="167">
        <v>3358.95</v>
      </c>
      <c r="F425" s="168"/>
      <c r="G425" s="169"/>
      <c r="H425" s="170">
        <v>3358.95</v>
      </c>
      <c r="I425" s="171">
        <v>3358.95</v>
      </c>
      <c r="J425" s="90"/>
      <c r="K425" s="90"/>
      <c r="L425" s="204"/>
    </row>
    <row r="426" spans="1:12" s="27" customFormat="1" ht="12.75" outlineLevel="1" x14ac:dyDescent="0.2">
      <c r="A426" s="187" t="s">
        <v>1016</v>
      </c>
      <c r="B426" s="116">
        <v>43220</v>
      </c>
      <c r="C426" s="117">
        <v>43413</v>
      </c>
      <c r="D426" s="108">
        <v>20</v>
      </c>
      <c r="E426" s="168"/>
      <c r="F426" s="167">
        <v>8700</v>
      </c>
      <c r="G426" s="169"/>
      <c r="H426" s="170">
        <v>8700</v>
      </c>
      <c r="I426" s="171">
        <v>8700</v>
      </c>
      <c r="J426" s="90"/>
      <c r="K426" s="90"/>
      <c r="L426" s="204"/>
    </row>
    <row r="427" spans="1:12" s="27" customFormat="1" ht="12.75" outlineLevel="1" x14ac:dyDescent="0.2">
      <c r="A427" s="187" t="s">
        <v>1017</v>
      </c>
      <c r="B427" s="116">
        <v>43220</v>
      </c>
      <c r="C427" s="117">
        <v>43494</v>
      </c>
      <c r="D427" s="108">
        <v>50</v>
      </c>
      <c r="E427" s="167">
        <v>6160.3</v>
      </c>
      <c r="F427" s="168"/>
      <c r="G427" s="169"/>
      <c r="H427" s="170">
        <v>6160.3</v>
      </c>
      <c r="I427" s="171">
        <v>6160.3</v>
      </c>
      <c r="J427" s="90"/>
      <c r="K427" s="90"/>
      <c r="L427" s="204"/>
    </row>
    <row r="428" spans="1:12" s="27" customFormat="1" ht="24" outlineLevel="1" x14ac:dyDescent="0.2">
      <c r="A428" s="187" t="s">
        <v>427</v>
      </c>
      <c r="B428" s="116">
        <v>43122</v>
      </c>
      <c r="C428" s="117">
        <v>43347</v>
      </c>
      <c r="D428" s="108">
        <v>20</v>
      </c>
      <c r="E428" s="168"/>
      <c r="F428" s="167">
        <v>6500</v>
      </c>
      <c r="G428" s="169"/>
      <c r="H428" s="170">
        <v>6500</v>
      </c>
      <c r="I428" s="171">
        <v>6500</v>
      </c>
      <c r="J428" s="90"/>
      <c r="K428" s="90"/>
      <c r="L428" s="204"/>
    </row>
    <row r="429" spans="1:12" s="27" customFormat="1" ht="12.75" outlineLevel="1" x14ac:dyDescent="0.2">
      <c r="A429" s="187" t="s">
        <v>428</v>
      </c>
      <c r="B429" s="116">
        <v>43101</v>
      </c>
      <c r="C429" s="117">
        <v>43438</v>
      </c>
      <c r="D429" s="108">
        <v>50</v>
      </c>
      <c r="E429" s="167">
        <v>3721.37</v>
      </c>
      <c r="F429" s="168"/>
      <c r="G429" s="169"/>
      <c r="H429" s="170">
        <v>3721.37</v>
      </c>
      <c r="I429" s="171">
        <v>3721.37</v>
      </c>
      <c r="J429" s="90"/>
      <c r="K429" s="90"/>
      <c r="L429" s="204"/>
    </row>
    <row r="430" spans="1:12" s="27" customFormat="1" ht="12.75" outlineLevel="1" x14ac:dyDescent="0.2">
      <c r="A430" s="187" t="s">
        <v>1018</v>
      </c>
      <c r="B430" s="116">
        <v>43251</v>
      </c>
      <c r="C430" s="117">
        <v>43476</v>
      </c>
      <c r="D430" s="108">
        <v>50</v>
      </c>
      <c r="E430" s="167">
        <v>9586.57</v>
      </c>
      <c r="F430" s="168"/>
      <c r="G430" s="169"/>
      <c r="H430" s="170">
        <v>9586.57</v>
      </c>
      <c r="I430" s="171">
        <v>9586.57</v>
      </c>
      <c r="J430" s="90"/>
      <c r="K430" s="90"/>
      <c r="L430" s="204"/>
    </row>
    <row r="431" spans="1:12" s="27" customFormat="1" ht="12.75" outlineLevel="1" x14ac:dyDescent="0.2">
      <c r="A431" s="187" t="s">
        <v>1019</v>
      </c>
      <c r="B431" s="116">
        <v>43281</v>
      </c>
      <c r="C431" s="117">
        <v>43593</v>
      </c>
      <c r="D431" s="108">
        <v>50</v>
      </c>
      <c r="E431" s="167">
        <v>9374.61</v>
      </c>
      <c r="F431" s="168"/>
      <c r="G431" s="169"/>
      <c r="H431" s="170">
        <v>9374.61</v>
      </c>
      <c r="I431" s="171">
        <v>9374.61</v>
      </c>
      <c r="J431" s="90"/>
      <c r="K431" s="90"/>
      <c r="L431" s="204"/>
    </row>
    <row r="432" spans="1:12" s="27" customFormat="1" ht="12.75" outlineLevel="1" x14ac:dyDescent="0.2">
      <c r="A432" s="187" t="s">
        <v>1020</v>
      </c>
      <c r="B432" s="116">
        <v>43220</v>
      </c>
      <c r="C432" s="117">
        <v>43438</v>
      </c>
      <c r="D432" s="108">
        <v>50</v>
      </c>
      <c r="E432" s="167">
        <v>5455.85</v>
      </c>
      <c r="F432" s="168"/>
      <c r="G432" s="169"/>
      <c r="H432" s="170">
        <v>5455.85</v>
      </c>
      <c r="I432" s="171">
        <v>5455.85</v>
      </c>
      <c r="J432" s="90"/>
      <c r="K432" s="90"/>
      <c r="L432" s="204"/>
    </row>
    <row r="433" spans="1:12" s="27" customFormat="1" ht="12.75" outlineLevel="1" x14ac:dyDescent="0.2">
      <c r="A433" s="187" t="s">
        <v>1021</v>
      </c>
      <c r="B433" s="116">
        <v>43281</v>
      </c>
      <c r="C433" s="117">
        <v>43418</v>
      </c>
      <c r="D433" s="108">
        <v>50</v>
      </c>
      <c r="E433" s="167">
        <v>6300.84</v>
      </c>
      <c r="F433" s="168"/>
      <c r="G433" s="169"/>
      <c r="H433" s="170">
        <v>6300.84</v>
      </c>
      <c r="I433" s="171">
        <v>6300.84</v>
      </c>
      <c r="J433" s="90"/>
      <c r="K433" s="90"/>
      <c r="L433" s="204"/>
    </row>
    <row r="434" spans="1:12" s="27" customFormat="1" ht="24" outlineLevel="1" x14ac:dyDescent="0.2">
      <c r="A434" s="187" t="s">
        <v>1022</v>
      </c>
      <c r="B434" s="116">
        <v>43281</v>
      </c>
      <c r="C434" s="117">
        <v>43374</v>
      </c>
      <c r="D434" s="108">
        <v>50</v>
      </c>
      <c r="E434" s="167">
        <v>46279.49</v>
      </c>
      <c r="F434" s="168"/>
      <c r="G434" s="169"/>
      <c r="H434" s="170">
        <v>46279.49</v>
      </c>
      <c r="I434" s="171">
        <v>46279.49</v>
      </c>
      <c r="J434" s="90"/>
      <c r="K434" s="90"/>
      <c r="L434" s="204"/>
    </row>
    <row r="435" spans="1:12" s="27" customFormat="1" ht="12.75" outlineLevel="1" x14ac:dyDescent="0.2">
      <c r="A435" s="187" t="s">
        <v>277</v>
      </c>
      <c r="B435" s="116">
        <v>43069</v>
      </c>
      <c r="C435" s="117">
        <v>43382</v>
      </c>
      <c r="D435" s="108">
        <v>50</v>
      </c>
      <c r="E435" s="167">
        <v>5229.2</v>
      </c>
      <c r="F435" s="168"/>
      <c r="G435" s="169"/>
      <c r="H435" s="170">
        <v>5229.2</v>
      </c>
      <c r="I435" s="171">
        <v>5229.2</v>
      </c>
      <c r="J435" s="90"/>
      <c r="K435" s="90"/>
      <c r="L435" s="204"/>
    </row>
    <row r="436" spans="1:12" s="27" customFormat="1" ht="24" outlineLevel="1" x14ac:dyDescent="0.2">
      <c r="A436" s="187" t="s">
        <v>1023</v>
      </c>
      <c r="B436" s="116">
        <v>43281</v>
      </c>
      <c r="C436" s="117">
        <v>43460</v>
      </c>
      <c r="D436" s="108">
        <v>50</v>
      </c>
      <c r="E436" s="167">
        <v>6285.3</v>
      </c>
      <c r="F436" s="168"/>
      <c r="G436" s="169"/>
      <c r="H436" s="170">
        <v>6285.3</v>
      </c>
      <c r="I436" s="171">
        <v>6285.3</v>
      </c>
      <c r="J436" s="90"/>
      <c r="K436" s="90"/>
      <c r="L436" s="204"/>
    </row>
    <row r="437" spans="1:12" s="27" customFormat="1" ht="24" outlineLevel="1" x14ac:dyDescent="0.2">
      <c r="A437" s="187" t="s">
        <v>1024</v>
      </c>
      <c r="B437" s="116">
        <v>43220</v>
      </c>
      <c r="C437" s="117">
        <v>43399</v>
      </c>
      <c r="D437" s="108">
        <v>50</v>
      </c>
      <c r="E437" s="168">
        <v>5879.34</v>
      </c>
      <c r="F437" s="168">
        <v>8800</v>
      </c>
      <c r="G437" s="169"/>
      <c r="H437" s="170">
        <v>14679.34</v>
      </c>
      <c r="I437" s="171">
        <v>14679.34</v>
      </c>
      <c r="J437" s="90"/>
      <c r="K437" s="90"/>
      <c r="L437" s="204"/>
    </row>
    <row r="438" spans="1:12" s="27" customFormat="1" ht="24" outlineLevel="1" x14ac:dyDescent="0.2">
      <c r="A438" s="187" t="s">
        <v>1025</v>
      </c>
      <c r="B438" s="116">
        <v>43220</v>
      </c>
      <c r="C438" s="117">
        <v>43383</v>
      </c>
      <c r="D438" s="108">
        <v>20</v>
      </c>
      <c r="E438" s="168"/>
      <c r="F438" s="167">
        <v>7300</v>
      </c>
      <c r="G438" s="169"/>
      <c r="H438" s="170">
        <v>7300</v>
      </c>
      <c r="I438" s="171">
        <v>7300</v>
      </c>
      <c r="J438" s="90"/>
      <c r="K438" s="90"/>
      <c r="L438" s="204"/>
    </row>
    <row r="439" spans="1:12" s="27" customFormat="1" ht="24" outlineLevel="1" x14ac:dyDescent="0.2">
      <c r="A439" s="187" t="s">
        <v>1026</v>
      </c>
      <c r="B439" s="116">
        <v>43220</v>
      </c>
      <c r="C439" s="117">
        <v>43375</v>
      </c>
      <c r="D439" s="108">
        <v>20</v>
      </c>
      <c r="E439" s="168"/>
      <c r="F439" s="167">
        <v>3800</v>
      </c>
      <c r="G439" s="169"/>
      <c r="H439" s="170">
        <v>3800</v>
      </c>
      <c r="I439" s="171">
        <v>3800</v>
      </c>
      <c r="J439" s="90"/>
      <c r="K439" s="90"/>
      <c r="L439" s="204"/>
    </row>
    <row r="440" spans="1:12" s="27" customFormat="1" ht="24" outlineLevel="1" x14ac:dyDescent="0.2">
      <c r="A440" s="187" t="s">
        <v>1027</v>
      </c>
      <c r="B440" s="116">
        <v>43281</v>
      </c>
      <c r="C440" s="117">
        <v>43413</v>
      </c>
      <c r="D440" s="108">
        <v>20</v>
      </c>
      <c r="E440" s="168"/>
      <c r="F440" s="167">
        <v>3600</v>
      </c>
      <c r="G440" s="169"/>
      <c r="H440" s="170">
        <v>3600</v>
      </c>
      <c r="I440" s="171">
        <v>3600</v>
      </c>
      <c r="J440" s="90"/>
      <c r="K440" s="90"/>
      <c r="L440" s="204"/>
    </row>
    <row r="441" spans="1:12" s="27" customFormat="1" ht="24" outlineLevel="1" x14ac:dyDescent="0.2">
      <c r="A441" s="187" t="s">
        <v>1028</v>
      </c>
      <c r="B441" s="116">
        <v>43251</v>
      </c>
      <c r="C441" s="117">
        <v>43375</v>
      </c>
      <c r="D441" s="108">
        <v>50</v>
      </c>
      <c r="E441" s="167">
        <v>5496.36</v>
      </c>
      <c r="F441" s="168"/>
      <c r="G441" s="169"/>
      <c r="H441" s="170">
        <v>5496.36</v>
      </c>
      <c r="I441" s="171">
        <v>5496.36</v>
      </c>
      <c r="J441" s="90"/>
      <c r="K441" s="90"/>
      <c r="L441" s="204"/>
    </row>
    <row r="442" spans="1:12" s="27" customFormat="1" ht="12.75" outlineLevel="1" x14ac:dyDescent="0.2">
      <c r="A442" s="187" t="s">
        <v>1029</v>
      </c>
      <c r="B442" s="116">
        <v>43281</v>
      </c>
      <c r="C442" s="117">
        <v>43523</v>
      </c>
      <c r="D442" s="108">
        <v>50</v>
      </c>
      <c r="E442" s="167">
        <v>4267.2</v>
      </c>
      <c r="F442" s="168"/>
      <c r="G442" s="169"/>
      <c r="H442" s="170">
        <v>4267.2</v>
      </c>
      <c r="I442" s="171">
        <v>4267.2</v>
      </c>
      <c r="J442" s="90"/>
      <c r="K442" s="90"/>
      <c r="L442" s="204"/>
    </row>
    <row r="443" spans="1:12" s="27" customFormat="1" ht="12.75" outlineLevel="1" x14ac:dyDescent="0.2">
      <c r="A443" s="187" t="s">
        <v>1030</v>
      </c>
      <c r="B443" s="116">
        <v>43281</v>
      </c>
      <c r="C443" s="117">
        <v>43389</v>
      </c>
      <c r="D443" s="108">
        <v>50</v>
      </c>
      <c r="E443" s="167">
        <v>13066.21</v>
      </c>
      <c r="F443" s="168"/>
      <c r="G443" s="169"/>
      <c r="H443" s="170">
        <v>13066.21</v>
      </c>
      <c r="I443" s="171">
        <v>13066.21</v>
      </c>
      <c r="J443" s="90"/>
      <c r="K443" s="90"/>
      <c r="L443" s="204"/>
    </row>
    <row r="444" spans="1:12" s="27" customFormat="1" ht="12.75" outlineLevel="1" x14ac:dyDescent="0.2">
      <c r="A444" s="187" t="s">
        <v>1031</v>
      </c>
      <c r="B444" s="116">
        <v>43281</v>
      </c>
      <c r="C444" s="117">
        <v>43525</v>
      </c>
      <c r="D444" s="108">
        <v>50</v>
      </c>
      <c r="E444" s="167">
        <v>724.99</v>
      </c>
      <c r="F444" s="168"/>
      <c r="G444" s="169"/>
      <c r="H444" s="170">
        <v>724.99</v>
      </c>
      <c r="I444" s="171">
        <v>724.99</v>
      </c>
      <c r="J444" s="90"/>
      <c r="K444" s="90"/>
      <c r="L444" s="204"/>
    </row>
    <row r="445" spans="1:12" s="27" customFormat="1" ht="24" outlineLevel="1" x14ac:dyDescent="0.2">
      <c r="A445" s="187" t="s">
        <v>1032</v>
      </c>
      <c r="B445" s="116">
        <v>43251</v>
      </c>
      <c r="C445" s="117">
        <v>43356</v>
      </c>
      <c r="D445" s="108">
        <v>50</v>
      </c>
      <c r="E445" s="167">
        <v>6086.18</v>
      </c>
      <c r="F445" s="168"/>
      <c r="G445" s="169"/>
      <c r="H445" s="170">
        <v>6086.18</v>
      </c>
      <c r="I445" s="171">
        <v>6086.18</v>
      </c>
      <c r="J445" s="90"/>
      <c r="K445" s="90"/>
      <c r="L445" s="204"/>
    </row>
    <row r="446" spans="1:12" s="27" customFormat="1" ht="12.75" outlineLevel="1" x14ac:dyDescent="0.2">
      <c r="A446" s="187" t="s">
        <v>429</v>
      </c>
      <c r="B446" s="116">
        <v>43125</v>
      </c>
      <c r="C446" s="117">
        <v>43383</v>
      </c>
      <c r="D446" s="108">
        <v>50</v>
      </c>
      <c r="E446" s="172">
        <v>6532.15</v>
      </c>
      <c r="F446" s="168">
        <v>7200</v>
      </c>
      <c r="G446" s="169"/>
      <c r="H446" s="170">
        <v>13732.15</v>
      </c>
      <c r="I446" s="171">
        <v>13732.15</v>
      </c>
      <c r="J446" s="90"/>
      <c r="K446" s="90"/>
      <c r="L446" s="204"/>
    </row>
    <row r="447" spans="1:12" s="27" customFormat="1" ht="24" outlineLevel="1" x14ac:dyDescent="0.2">
      <c r="A447" s="187" t="s">
        <v>1033</v>
      </c>
      <c r="B447" s="116">
        <v>43220</v>
      </c>
      <c r="C447" s="117">
        <v>43380</v>
      </c>
      <c r="D447" s="108">
        <v>50</v>
      </c>
      <c r="E447" s="167">
        <v>4127.9799999999996</v>
      </c>
      <c r="F447" s="168"/>
      <c r="G447" s="169"/>
      <c r="H447" s="170">
        <v>4127.9799999999996</v>
      </c>
      <c r="I447" s="171">
        <v>4127.9799999999996</v>
      </c>
      <c r="J447" s="90"/>
      <c r="K447" s="90"/>
      <c r="L447" s="204"/>
    </row>
    <row r="448" spans="1:12" s="27" customFormat="1" ht="12.75" outlineLevel="1" x14ac:dyDescent="0.2">
      <c r="A448" s="187" t="s">
        <v>278</v>
      </c>
      <c r="B448" s="116">
        <v>43080</v>
      </c>
      <c r="C448" s="117">
        <v>43350</v>
      </c>
      <c r="D448" s="108">
        <v>50</v>
      </c>
      <c r="E448" s="168">
        <v>5191.8</v>
      </c>
      <c r="F448" s="168">
        <v>6500</v>
      </c>
      <c r="G448" s="169"/>
      <c r="H448" s="170">
        <v>11691.8</v>
      </c>
      <c r="I448" s="171">
        <v>11691.8</v>
      </c>
      <c r="J448" s="90"/>
      <c r="K448" s="90"/>
      <c r="L448" s="204"/>
    </row>
    <row r="449" spans="1:12" s="27" customFormat="1" ht="12.75" outlineLevel="1" x14ac:dyDescent="0.2">
      <c r="A449" s="187" t="s">
        <v>1034</v>
      </c>
      <c r="B449" s="116">
        <v>43251</v>
      </c>
      <c r="C449" s="117">
        <v>43347</v>
      </c>
      <c r="D449" s="108">
        <v>50</v>
      </c>
      <c r="E449" s="167">
        <v>3608.96</v>
      </c>
      <c r="F449" s="168"/>
      <c r="G449" s="169"/>
      <c r="H449" s="170">
        <v>3608.96</v>
      </c>
      <c r="I449" s="171">
        <v>3608.96</v>
      </c>
      <c r="J449" s="90"/>
      <c r="K449" s="90"/>
      <c r="L449" s="204"/>
    </row>
    <row r="450" spans="1:12" s="27" customFormat="1" ht="12.75" outlineLevel="1" x14ac:dyDescent="0.2">
      <c r="A450" s="187" t="s">
        <v>279</v>
      </c>
      <c r="B450" s="116">
        <v>43100</v>
      </c>
      <c r="C450" s="117">
        <v>43333</v>
      </c>
      <c r="D450" s="108">
        <v>50</v>
      </c>
      <c r="E450" s="167">
        <v>14781.55</v>
      </c>
      <c r="F450" s="168"/>
      <c r="G450" s="169"/>
      <c r="H450" s="170">
        <v>14781.55</v>
      </c>
      <c r="I450" s="171">
        <v>14781.55</v>
      </c>
      <c r="J450" s="90"/>
      <c r="K450" s="90"/>
      <c r="L450" s="204"/>
    </row>
    <row r="451" spans="1:12" s="27" customFormat="1" ht="24" outlineLevel="1" x14ac:dyDescent="0.2">
      <c r="A451" s="187" t="s">
        <v>430</v>
      </c>
      <c r="B451" s="116">
        <v>43131</v>
      </c>
      <c r="C451" s="117">
        <v>43414</v>
      </c>
      <c r="D451" s="108">
        <v>50</v>
      </c>
      <c r="E451" s="167">
        <v>4857.12</v>
      </c>
      <c r="F451" s="168"/>
      <c r="G451" s="169"/>
      <c r="H451" s="170">
        <v>4857.12</v>
      </c>
      <c r="I451" s="171">
        <v>4857.12</v>
      </c>
      <c r="J451" s="90"/>
      <c r="K451" s="90"/>
      <c r="L451" s="204"/>
    </row>
    <row r="452" spans="1:12" s="27" customFormat="1" ht="12.75" outlineLevel="1" x14ac:dyDescent="0.2">
      <c r="A452" s="187" t="s">
        <v>1035</v>
      </c>
      <c r="B452" s="116">
        <v>43281</v>
      </c>
      <c r="C452" s="117">
        <v>43483</v>
      </c>
      <c r="D452" s="108">
        <v>50</v>
      </c>
      <c r="E452" s="167">
        <v>6190.17</v>
      </c>
      <c r="F452" s="168"/>
      <c r="G452" s="169"/>
      <c r="H452" s="170">
        <v>6190.17</v>
      </c>
      <c r="I452" s="171">
        <v>6190.17</v>
      </c>
      <c r="J452" s="90"/>
      <c r="K452" s="90"/>
      <c r="L452" s="204"/>
    </row>
    <row r="453" spans="1:12" s="27" customFormat="1" ht="12.75" outlineLevel="1" x14ac:dyDescent="0.2">
      <c r="A453" s="187" t="s">
        <v>1036</v>
      </c>
      <c r="B453" s="116">
        <v>43220</v>
      </c>
      <c r="C453" s="117">
        <v>43504</v>
      </c>
      <c r="D453" s="108">
        <v>50</v>
      </c>
      <c r="E453" s="167">
        <v>5914.23</v>
      </c>
      <c r="F453" s="168"/>
      <c r="G453" s="169"/>
      <c r="H453" s="170">
        <v>5914.23</v>
      </c>
      <c r="I453" s="171">
        <v>5914.23</v>
      </c>
      <c r="J453" s="90"/>
      <c r="K453" s="90"/>
      <c r="L453" s="204"/>
    </row>
    <row r="454" spans="1:12" s="27" customFormat="1" ht="12.75" outlineLevel="1" x14ac:dyDescent="0.2">
      <c r="A454" s="187" t="s">
        <v>1037</v>
      </c>
      <c r="B454" s="116">
        <v>43251</v>
      </c>
      <c r="C454" s="117">
        <v>43421</v>
      </c>
      <c r="D454" s="108">
        <v>50</v>
      </c>
      <c r="E454" s="167">
        <v>3017.45</v>
      </c>
      <c r="F454" s="168"/>
      <c r="G454" s="169"/>
      <c r="H454" s="170">
        <v>3017.45</v>
      </c>
      <c r="I454" s="171">
        <v>3017.45</v>
      </c>
      <c r="J454" s="90"/>
      <c r="K454" s="90"/>
      <c r="L454" s="204"/>
    </row>
    <row r="455" spans="1:12" s="27" customFormat="1" ht="12.75" outlineLevel="1" x14ac:dyDescent="0.2">
      <c r="A455" s="187" t="s">
        <v>280</v>
      </c>
      <c r="B455" s="116">
        <v>39417</v>
      </c>
      <c r="C455" s="117">
        <v>43347</v>
      </c>
      <c r="D455" s="108">
        <v>50</v>
      </c>
      <c r="E455" s="168">
        <v>8047.11</v>
      </c>
      <c r="F455" s="168">
        <v>6400</v>
      </c>
      <c r="G455" s="169"/>
      <c r="H455" s="170">
        <v>14447.11</v>
      </c>
      <c r="I455" s="171">
        <v>14447.11</v>
      </c>
      <c r="J455" s="90"/>
      <c r="K455" s="90"/>
      <c r="L455" s="204"/>
    </row>
    <row r="456" spans="1:12" s="27" customFormat="1" ht="24" outlineLevel="1" x14ac:dyDescent="0.2">
      <c r="A456" s="187" t="s">
        <v>190</v>
      </c>
      <c r="B456" s="116">
        <v>42551</v>
      </c>
      <c r="C456" s="117">
        <v>43381</v>
      </c>
      <c r="D456" s="108">
        <v>50</v>
      </c>
      <c r="E456" s="168">
        <v>8269.84</v>
      </c>
      <c r="F456" s="168">
        <v>15000</v>
      </c>
      <c r="G456" s="169"/>
      <c r="H456" s="170">
        <v>23269.84</v>
      </c>
      <c r="I456" s="171">
        <v>23269.84</v>
      </c>
      <c r="J456" s="90"/>
      <c r="K456" s="90"/>
      <c r="L456" s="204"/>
    </row>
    <row r="457" spans="1:12" s="27" customFormat="1" ht="24" outlineLevel="1" x14ac:dyDescent="0.2">
      <c r="A457" s="187" t="s">
        <v>281</v>
      </c>
      <c r="B457" s="116">
        <v>43080</v>
      </c>
      <c r="C457" s="117">
        <v>43332</v>
      </c>
      <c r="D457" s="108">
        <v>20</v>
      </c>
      <c r="E457" s="168"/>
      <c r="F457" s="167">
        <v>35000</v>
      </c>
      <c r="G457" s="169"/>
      <c r="H457" s="170">
        <v>35000</v>
      </c>
      <c r="I457" s="171">
        <v>35000</v>
      </c>
      <c r="J457" s="90"/>
      <c r="K457" s="90"/>
      <c r="L457" s="204"/>
    </row>
    <row r="458" spans="1:12" s="27" customFormat="1" ht="12.75" outlineLevel="1" x14ac:dyDescent="0.2">
      <c r="A458" s="187" t="s">
        <v>1038</v>
      </c>
      <c r="B458" s="116">
        <v>43281</v>
      </c>
      <c r="C458" s="117">
        <v>43474</v>
      </c>
      <c r="D458" s="108">
        <v>20</v>
      </c>
      <c r="E458" s="168"/>
      <c r="F458" s="167">
        <v>3400</v>
      </c>
      <c r="G458" s="169"/>
      <c r="H458" s="170">
        <v>3400</v>
      </c>
      <c r="I458" s="171">
        <v>3400</v>
      </c>
      <c r="J458" s="90"/>
      <c r="K458" s="90"/>
      <c r="L458" s="204"/>
    </row>
    <row r="459" spans="1:12" s="27" customFormat="1" ht="24" outlineLevel="1" x14ac:dyDescent="0.2">
      <c r="A459" s="187" t="s">
        <v>1039</v>
      </c>
      <c r="B459" s="116">
        <v>43190</v>
      </c>
      <c r="C459" s="117">
        <v>43412</v>
      </c>
      <c r="D459" s="108">
        <v>50</v>
      </c>
      <c r="E459" s="167">
        <v>4085.25</v>
      </c>
      <c r="F459" s="168"/>
      <c r="G459" s="169"/>
      <c r="H459" s="170">
        <v>4085.25</v>
      </c>
      <c r="I459" s="171">
        <v>4085.25</v>
      </c>
      <c r="J459" s="90"/>
      <c r="K459" s="90"/>
      <c r="L459" s="204"/>
    </row>
    <row r="460" spans="1:12" s="27" customFormat="1" ht="24" outlineLevel="1" x14ac:dyDescent="0.2">
      <c r="A460" s="187" t="s">
        <v>1040</v>
      </c>
      <c r="B460" s="116">
        <v>43220</v>
      </c>
      <c r="C460" s="117">
        <v>43462</v>
      </c>
      <c r="D460" s="108">
        <v>50</v>
      </c>
      <c r="E460" s="167">
        <v>4620.54</v>
      </c>
      <c r="F460" s="168"/>
      <c r="G460" s="169"/>
      <c r="H460" s="170">
        <v>4620.54</v>
      </c>
      <c r="I460" s="171">
        <v>4620.54</v>
      </c>
      <c r="J460" s="90"/>
      <c r="K460" s="90"/>
      <c r="L460" s="204"/>
    </row>
    <row r="461" spans="1:12" s="27" customFormat="1" ht="24" outlineLevel="1" x14ac:dyDescent="0.2">
      <c r="A461" s="187" t="s">
        <v>1041</v>
      </c>
      <c r="B461" s="116">
        <v>43220</v>
      </c>
      <c r="C461" s="117">
        <v>43462</v>
      </c>
      <c r="D461" s="108">
        <v>50</v>
      </c>
      <c r="E461" s="167">
        <v>5836.93</v>
      </c>
      <c r="F461" s="168"/>
      <c r="G461" s="169"/>
      <c r="H461" s="170">
        <v>5836.93</v>
      </c>
      <c r="I461" s="171">
        <v>5836.93</v>
      </c>
      <c r="J461" s="90"/>
      <c r="K461" s="90"/>
      <c r="L461" s="204"/>
    </row>
    <row r="462" spans="1:12" s="27" customFormat="1" ht="12.75" outlineLevel="1" x14ac:dyDescent="0.2">
      <c r="A462" s="187" t="s">
        <v>1042</v>
      </c>
      <c r="B462" s="116">
        <v>43069</v>
      </c>
      <c r="C462" s="117">
        <v>43403</v>
      </c>
      <c r="D462" s="108">
        <v>50</v>
      </c>
      <c r="E462" s="167">
        <v>6601.24</v>
      </c>
      <c r="F462" s="168"/>
      <c r="G462" s="169"/>
      <c r="H462" s="170">
        <v>6601.24</v>
      </c>
      <c r="I462" s="171">
        <v>6601.24</v>
      </c>
      <c r="J462" s="90"/>
      <c r="K462" s="90"/>
      <c r="L462" s="204"/>
    </row>
    <row r="463" spans="1:12" s="27" customFormat="1" ht="24" outlineLevel="1" x14ac:dyDescent="0.2">
      <c r="A463" s="187" t="s">
        <v>431</v>
      </c>
      <c r="B463" s="116">
        <v>43159</v>
      </c>
      <c r="C463" s="117">
        <v>43421</v>
      </c>
      <c r="D463" s="108">
        <v>50</v>
      </c>
      <c r="E463" s="167">
        <v>5154.83</v>
      </c>
      <c r="F463" s="168"/>
      <c r="G463" s="169"/>
      <c r="H463" s="170">
        <v>5154.83</v>
      </c>
      <c r="I463" s="171">
        <v>5154.83</v>
      </c>
      <c r="J463" s="90"/>
      <c r="K463" s="90"/>
      <c r="L463" s="204"/>
    </row>
    <row r="464" spans="1:12" s="27" customFormat="1" ht="12.75" outlineLevel="1" x14ac:dyDescent="0.2">
      <c r="A464" s="187" t="s">
        <v>1043</v>
      </c>
      <c r="B464" s="116">
        <v>42490</v>
      </c>
      <c r="C464" s="117">
        <v>43426</v>
      </c>
      <c r="D464" s="108">
        <v>50</v>
      </c>
      <c r="E464" s="168">
        <v>3382.81</v>
      </c>
      <c r="F464" s="168">
        <v>5700</v>
      </c>
      <c r="G464" s="169"/>
      <c r="H464" s="170">
        <v>9082.81</v>
      </c>
      <c r="I464" s="171">
        <v>9082.81</v>
      </c>
      <c r="J464" s="90"/>
      <c r="K464" s="90"/>
      <c r="L464" s="204"/>
    </row>
    <row r="465" spans="1:12" s="27" customFormat="1" ht="12.75" outlineLevel="1" x14ac:dyDescent="0.2">
      <c r="A465" s="187" t="s">
        <v>432</v>
      </c>
      <c r="B465" s="116">
        <v>43125</v>
      </c>
      <c r="C465" s="117">
        <v>43382</v>
      </c>
      <c r="D465" s="108">
        <v>20</v>
      </c>
      <c r="E465" s="168"/>
      <c r="F465" s="167">
        <v>6700</v>
      </c>
      <c r="G465" s="169"/>
      <c r="H465" s="170">
        <v>6700</v>
      </c>
      <c r="I465" s="171">
        <v>6700</v>
      </c>
      <c r="J465" s="90"/>
      <c r="K465" s="90"/>
      <c r="L465" s="204"/>
    </row>
    <row r="466" spans="1:12" s="27" customFormat="1" ht="12.75" outlineLevel="1" x14ac:dyDescent="0.2">
      <c r="A466" s="187" t="s">
        <v>1044</v>
      </c>
      <c r="B466" s="116">
        <v>43281</v>
      </c>
      <c r="C466" s="117">
        <v>43504</v>
      </c>
      <c r="D466" s="108">
        <v>50</v>
      </c>
      <c r="E466" s="167">
        <v>6601.23</v>
      </c>
      <c r="F466" s="168"/>
      <c r="G466" s="169"/>
      <c r="H466" s="170">
        <v>6601.23</v>
      </c>
      <c r="I466" s="171">
        <v>6601.23</v>
      </c>
      <c r="J466" s="90"/>
      <c r="K466" s="90"/>
      <c r="L466" s="204"/>
    </row>
    <row r="467" spans="1:12" s="27" customFormat="1" ht="12.75" outlineLevel="1" x14ac:dyDescent="0.2">
      <c r="A467" s="187" t="s">
        <v>1045</v>
      </c>
      <c r="B467" s="116">
        <v>42490</v>
      </c>
      <c r="C467" s="117">
        <v>43411</v>
      </c>
      <c r="D467" s="108">
        <v>50</v>
      </c>
      <c r="E467" s="168">
        <v>12839.29</v>
      </c>
      <c r="F467" s="168">
        <v>8500</v>
      </c>
      <c r="G467" s="169"/>
      <c r="H467" s="170">
        <v>21339.29</v>
      </c>
      <c r="I467" s="171">
        <v>21339.29</v>
      </c>
      <c r="J467" s="90"/>
      <c r="K467" s="90"/>
      <c r="L467" s="204"/>
    </row>
    <row r="468" spans="1:12" s="27" customFormat="1" ht="12.75" outlineLevel="1" x14ac:dyDescent="0.2">
      <c r="A468" s="187" t="s">
        <v>1046</v>
      </c>
      <c r="B468" s="116">
        <v>43281</v>
      </c>
      <c r="C468" s="117">
        <v>43403</v>
      </c>
      <c r="D468" s="108">
        <v>50</v>
      </c>
      <c r="E468" s="167">
        <v>10645.66</v>
      </c>
      <c r="F468" s="168"/>
      <c r="G468" s="169"/>
      <c r="H468" s="170">
        <v>10645.66</v>
      </c>
      <c r="I468" s="171">
        <v>10645.66</v>
      </c>
      <c r="J468" s="90"/>
      <c r="K468" s="90"/>
      <c r="L468" s="204"/>
    </row>
    <row r="469" spans="1:12" s="27" customFormat="1" ht="24" outlineLevel="1" x14ac:dyDescent="0.2">
      <c r="A469" s="187" t="s">
        <v>282</v>
      </c>
      <c r="B469" s="116">
        <v>43100</v>
      </c>
      <c r="C469" s="117">
        <v>43362</v>
      </c>
      <c r="D469" s="108">
        <v>50</v>
      </c>
      <c r="E469" s="167">
        <v>10586.35</v>
      </c>
      <c r="F469" s="168"/>
      <c r="G469" s="169"/>
      <c r="H469" s="170">
        <v>10586.35</v>
      </c>
      <c r="I469" s="171">
        <v>10586.35</v>
      </c>
      <c r="J469" s="90"/>
      <c r="K469" s="90"/>
      <c r="L469" s="204"/>
    </row>
    <row r="470" spans="1:12" s="27" customFormat="1" ht="12.75" outlineLevel="1" x14ac:dyDescent="0.2">
      <c r="A470" s="187" t="s">
        <v>1047</v>
      </c>
      <c r="B470" s="116">
        <v>43101</v>
      </c>
      <c r="C470" s="117">
        <v>43425</v>
      </c>
      <c r="D470" s="108">
        <v>50</v>
      </c>
      <c r="E470" s="167">
        <v>4969.03</v>
      </c>
      <c r="F470" s="168"/>
      <c r="G470" s="169"/>
      <c r="H470" s="170">
        <v>4969.03</v>
      </c>
      <c r="I470" s="171">
        <v>4969.03</v>
      </c>
      <c r="J470" s="90"/>
      <c r="K470" s="90"/>
      <c r="L470" s="204"/>
    </row>
    <row r="471" spans="1:12" s="27" customFormat="1" ht="24" outlineLevel="1" x14ac:dyDescent="0.2">
      <c r="A471" s="187" t="s">
        <v>433</v>
      </c>
      <c r="B471" s="116">
        <v>43131</v>
      </c>
      <c r="C471" s="117">
        <v>43428</v>
      </c>
      <c r="D471" s="108">
        <v>50</v>
      </c>
      <c r="E471" s="167">
        <v>5371.08</v>
      </c>
      <c r="F471" s="168"/>
      <c r="G471" s="169"/>
      <c r="H471" s="170">
        <v>5371.08</v>
      </c>
      <c r="I471" s="171">
        <v>5371.08</v>
      </c>
      <c r="J471" s="90"/>
      <c r="K471" s="90"/>
      <c r="L471" s="204"/>
    </row>
    <row r="472" spans="1:12" s="27" customFormat="1" ht="12.75" outlineLevel="1" x14ac:dyDescent="0.2">
      <c r="A472" s="187" t="s">
        <v>283</v>
      </c>
      <c r="B472" s="116">
        <v>43070</v>
      </c>
      <c r="C472" s="117">
        <v>43342</v>
      </c>
      <c r="D472" s="108">
        <v>50</v>
      </c>
      <c r="E472" s="167">
        <v>5329.15</v>
      </c>
      <c r="F472" s="168"/>
      <c r="G472" s="169"/>
      <c r="H472" s="170">
        <v>5329.15</v>
      </c>
      <c r="I472" s="171">
        <v>5329.15</v>
      </c>
      <c r="J472" s="90"/>
      <c r="K472" s="90"/>
      <c r="L472" s="204"/>
    </row>
    <row r="473" spans="1:12" s="27" customFormat="1" ht="12.75" outlineLevel="1" x14ac:dyDescent="0.2">
      <c r="A473" s="187" t="s">
        <v>284</v>
      </c>
      <c r="B473" s="116">
        <v>43070</v>
      </c>
      <c r="C473" s="117">
        <v>43342</v>
      </c>
      <c r="D473" s="108">
        <v>50</v>
      </c>
      <c r="E473" s="167">
        <v>5329.15</v>
      </c>
      <c r="F473" s="168"/>
      <c r="G473" s="169"/>
      <c r="H473" s="170">
        <v>5329.15</v>
      </c>
      <c r="I473" s="171">
        <v>5329.15</v>
      </c>
      <c r="J473" s="90"/>
      <c r="K473" s="90"/>
      <c r="L473" s="204"/>
    </row>
    <row r="474" spans="1:12" s="27" customFormat="1" ht="12.75" outlineLevel="1" x14ac:dyDescent="0.2">
      <c r="A474" s="187" t="s">
        <v>1048</v>
      </c>
      <c r="B474" s="116">
        <v>43251</v>
      </c>
      <c r="C474" s="117">
        <v>43342</v>
      </c>
      <c r="D474" s="108">
        <v>50</v>
      </c>
      <c r="E474" s="167">
        <v>4672.2</v>
      </c>
      <c r="F474" s="168"/>
      <c r="G474" s="169"/>
      <c r="H474" s="170">
        <v>4672.2</v>
      </c>
      <c r="I474" s="171">
        <v>4672.2</v>
      </c>
      <c r="J474" s="90"/>
      <c r="K474" s="90"/>
      <c r="L474" s="204"/>
    </row>
    <row r="475" spans="1:12" s="27" customFormat="1" ht="24" outlineLevel="1" x14ac:dyDescent="0.2">
      <c r="A475" s="187" t="s">
        <v>191</v>
      </c>
      <c r="B475" s="116">
        <v>43070</v>
      </c>
      <c r="C475" s="117">
        <v>43325</v>
      </c>
      <c r="D475" s="108">
        <v>50</v>
      </c>
      <c r="E475" s="167">
        <v>32655.11</v>
      </c>
      <c r="F475" s="168"/>
      <c r="G475" s="169"/>
      <c r="H475" s="170">
        <v>32655.11</v>
      </c>
      <c r="I475" s="171">
        <v>32655.11</v>
      </c>
      <c r="J475" s="90"/>
      <c r="K475" s="90"/>
      <c r="L475" s="204"/>
    </row>
    <row r="476" spans="1:12" s="27" customFormat="1" ht="24" outlineLevel="1" x14ac:dyDescent="0.2">
      <c r="A476" s="187" t="s">
        <v>434</v>
      </c>
      <c r="B476" s="116">
        <v>43160</v>
      </c>
      <c r="C476" s="117">
        <v>43347</v>
      </c>
      <c r="D476" s="108">
        <v>50</v>
      </c>
      <c r="E476" s="167">
        <v>626.01</v>
      </c>
      <c r="F476" s="168"/>
      <c r="G476" s="169"/>
      <c r="H476" s="170">
        <v>626.01</v>
      </c>
      <c r="I476" s="171">
        <v>626.01</v>
      </c>
      <c r="J476" s="90"/>
      <c r="K476" s="90"/>
      <c r="L476" s="204"/>
    </row>
    <row r="477" spans="1:12" s="27" customFormat="1" ht="12.75" outlineLevel="1" x14ac:dyDescent="0.2">
      <c r="A477" s="187" t="s">
        <v>435</v>
      </c>
      <c r="B477" s="116">
        <v>43122</v>
      </c>
      <c r="C477" s="117">
        <v>43355</v>
      </c>
      <c r="D477" s="108">
        <v>20</v>
      </c>
      <c r="E477" s="168"/>
      <c r="F477" s="167">
        <v>6800</v>
      </c>
      <c r="G477" s="169"/>
      <c r="H477" s="170">
        <v>6800</v>
      </c>
      <c r="I477" s="171">
        <v>6800</v>
      </c>
      <c r="J477" s="90"/>
      <c r="K477" s="90"/>
      <c r="L477" s="204"/>
    </row>
    <row r="478" spans="1:12" s="27" customFormat="1" ht="12.75" outlineLevel="1" x14ac:dyDescent="0.2">
      <c r="A478" s="187" t="s">
        <v>1049</v>
      </c>
      <c r="B478" s="116">
        <v>43281</v>
      </c>
      <c r="C478" s="117">
        <v>43424</v>
      </c>
      <c r="D478" s="108">
        <v>20</v>
      </c>
      <c r="E478" s="168"/>
      <c r="F478" s="167">
        <v>3600</v>
      </c>
      <c r="G478" s="169"/>
      <c r="H478" s="170">
        <v>3600</v>
      </c>
      <c r="I478" s="171">
        <v>3600</v>
      </c>
      <c r="J478" s="90"/>
      <c r="K478" s="90"/>
      <c r="L478" s="204"/>
    </row>
    <row r="479" spans="1:12" s="27" customFormat="1" ht="12.75" outlineLevel="1" x14ac:dyDescent="0.2">
      <c r="A479" s="187" t="s">
        <v>436</v>
      </c>
      <c r="B479" s="116">
        <v>43160</v>
      </c>
      <c r="C479" s="117">
        <v>43357</v>
      </c>
      <c r="D479" s="108">
        <v>50</v>
      </c>
      <c r="E479" s="167">
        <v>7258.77</v>
      </c>
      <c r="F479" s="168"/>
      <c r="G479" s="169"/>
      <c r="H479" s="170">
        <v>7258.77</v>
      </c>
      <c r="I479" s="171">
        <v>7258.77</v>
      </c>
      <c r="J479" s="90"/>
      <c r="K479" s="90"/>
      <c r="L479" s="204"/>
    </row>
    <row r="480" spans="1:12" s="27" customFormat="1" ht="24" outlineLevel="1" x14ac:dyDescent="0.2">
      <c r="A480" s="187" t="s">
        <v>1050</v>
      </c>
      <c r="B480" s="116">
        <v>43189</v>
      </c>
      <c r="C480" s="117">
        <v>43529</v>
      </c>
      <c r="D480" s="108">
        <v>50</v>
      </c>
      <c r="E480" s="167">
        <v>4599.13</v>
      </c>
      <c r="F480" s="168"/>
      <c r="G480" s="169"/>
      <c r="H480" s="170">
        <v>4599.13</v>
      </c>
      <c r="I480" s="171">
        <v>4599.13</v>
      </c>
      <c r="J480" s="90"/>
      <c r="K480" s="90"/>
      <c r="L480" s="204"/>
    </row>
    <row r="481" spans="1:12" s="27" customFormat="1" ht="24" outlineLevel="1" x14ac:dyDescent="0.2">
      <c r="A481" s="187" t="s">
        <v>285</v>
      </c>
      <c r="B481" s="116">
        <v>43445</v>
      </c>
      <c r="C481" s="117">
        <v>43354</v>
      </c>
      <c r="D481" s="108">
        <v>50</v>
      </c>
      <c r="E481" s="168">
        <v>16489.96</v>
      </c>
      <c r="F481" s="168">
        <v>6800</v>
      </c>
      <c r="G481" s="169"/>
      <c r="H481" s="170">
        <v>23289.96</v>
      </c>
      <c r="I481" s="171">
        <v>23289.96</v>
      </c>
      <c r="J481" s="90"/>
      <c r="K481" s="90"/>
      <c r="L481" s="204"/>
    </row>
    <row r="482" spans="1:12" s="27" customFormat="1" ht="24" outlineLevel="1" x14ac:dyDescent="0.2">
      <c r="A482" s="187" t="s">
        <v>192</v>
      </c>
      <c r="B482" s="116">
        <v>42917</v>
      </c>
      <c r="C482" s="117">
        <v>43313</v>
      </c>
      <c r="D482" s="108">
        <v>50</v>
      </c>
      <c r="E482" s="168">
        <v>52064.08</v>
      </c>
      <c r="F482" s="168">
        <v>10500</v>
      </c>
      <c r="G482" s="169"/>
      <c r="H482" s="170">
        <v>62564.08</v>
      </c>
      <c r="I482" s="171">
        <v>62564.08</v>
      </c>
      <c r="J482" s="90"/>
      <c r="K482" s="90"/>
      <c r="L482" s="204"/>
    </row>
    <row r="483" spans="1:12" s="27" customFormat="1" ht="12.75" outlineLevel="1" x14ac:dyDescent="0.2">
      <c r="A483" s="187" t="s">
        <v>1051</v>
      </c>
      <c r="B483" s="116">
        <v>43281</v>
      </c>
      <c r="C483" s="117">
        <v>43551</v>
      </c>
      <c r="D483" s="108">
        <v>50</v>
      </c>
      <c r="E483" s="168">
        <v>1257.0899999999999</v>
      </c>
      <c r="F483" s="168"/>
      <c r="G483" s="169"/>
      <c r="H483" s="170">
        <v>1257.0899999999999</v>
      </c>
      <c r="I483" s="171">
        <v>1257.0899999999999</v>
      </c>
      <c r="J483" s="90"/>
      <c r="K483" s="90"/>
      <c r="L483" s="204"/>
    </row>
    <row r="484" spans="1:12" s="27" customFormat="1" ht="24" outlineLevel="1" x14ac:dyDescent="0.2">
      <c r="A484" s="187" t="s">
        <v>1052</v>
      </c>
      <c r="B484" s="116">
        <v>43276</v>
      </c>
      <c r="C484" s="117">
        <v>43361</v>
      </c>
      <c r="D484" s="108">
        <v>50</v>
      </c>
      <c r="E484" s="168">
        <v>6526.94</v>
      </c>
      <c r="F484" s="168">
        <v>3400</v>
      </c>
      <c r="G484" s="169"/>
      <c r="H484" s="170">
        <v>9926.94</v>
      </c>
      <c r="I484" s="171">
        <v>9926.94</v>
      </c>
      <c r="J484" s="90"/>
      <c r="K484" s="90"/>
      <c r="L484" s="204"/>
    </row>
    <row r="485" spans="1:12" s="27" customFormat="1" ht="24" outlineLevel="1" x14ac:dyDescent="0.2">
      <c r="A485" s="187" t="s">
        <v>437</v>
      </c>
      <c r="B485" s="116">
        <v>43159</v>
      </c>
      <c r="C485" s="117">
        <v>43421</v>
      </c>
      <c r="D485" s="108">
        <v>50</v>
      </c>
      <c r="E485" s="167">
        <v>4773.16</v>
      </c>
      <c r="F485" s="168"/>
      <c r="G485" s="169"/>
      <c r="H485" s="170">
        <v>4773.16</v>
      </c>
      <c r="I485" s="171">
        <v>4773.16</v>
      </c>
      <c r="J485" s="90"/>
      <c r="K485" s="90"/>
      <c r="L485" s="204"/>
    </row>
    <row r="486" spans="1:12" s="27" customFormat="1" ht="12.75" outlineLevel="1" x14ac:dyDescent="0.2">
      <c r="A486" s="187" t="s">
        <v>438</v>
      </c>
      <c r="B486" s="116">
        <v>43190</v>
      </c>
      <c r="C486" s="117">
        <v>43417</v>
      </c>
      <c r="D486" s="108">
        <v>50</v>
      </c>
      <c r="E486" s="167">
        <v>4300.58</v>
      </c>
      <c r="F486" s="168"/>
      <c r="G486" s="169"/>
      <c r="H486" s="170">
        <v>4300.58</v>
      </c>
      <c r="I486" s="171">
        <v>4300.58</v>
      </c>
      <c r="J486" s="90"/>
      <c r="K486" s="90"/>
      <c r="L486" s="204"/>
    </row>
    <row r="487" spans="1:12" s="27" customFormat="1" ht="12.75" outlineLevel="1" x14ac:dyDescent="0.2">
      <c r="A487" s="187" t="s">
        <v>286</v>
      </c>
      <c r="B487" s="116">
        <v>43070</v>
      </c>
      <c r="C487" s="117">
        <v>43363</v>
      </c>
      <c r="D487" s="108">
        <v>50</v>
      </c>
      <c r="E487" s="168">
        <v>4317.8100000000004</v>
      </c>
      <c r="F487" s="168">
        <v>6800</v>
      </c>
      <c r="G487" s="169"/>
      <c r="H487" s="170">
        <v>11117.81</v>
      </c>
      <c r="I487" s="171">
        <v>11117.81</v>
      </c>
      <c r="J487" s="90"/>
      <c r="K487" s="90"/>
      <c r="L487" s="204"/>
    </row>
    <row r="488" spans="1:12" s="27" customFormat="1" ht="24" outlineLevel="1" x14ac:dyDescent="0.2">
      <c r="A488" s="187" t="s">
        <v>287</v>
      </c>
      <c r="B488" s="116">
        <v>43006</v>
      </c>
      <c r="C488" s="117">
        <v>43465</v>
      </c>
      <c r="D488" s="108">
        <v>50</v>
      </c>
      <c r="E488" s="168">
        <v>7728.76</v>
      </c>
      <c r="F488" s="168">
        <v>6500</v>
      </c>
      <c r="G488" s="169"/>
      <c r="H488" s="170">
        <v>14228.76</v>
      </c>
      <c r="I488" s="171">
        <v>14228.76</v>
      </c>
      <c r="J488" s="90"/>
      <c r="K488" s="90"/>
      <c r="L488" s="204"/>
    </row>
    <row r="489" spans="1:12" s="27" customFormat="1" ht="24" outlineLevel="1" x14ac:dyDescent="0.2">
      <c r="A489" s="187" t="s">
        <v>288</v>
      </c>
      <c r="B489" s="116">
        <v>43006</v>
      </c>
      <c r="C489" s="117">
        <v>43551</v>
      </c>
      <c r="D489" s="108">
        <v>20</v>
      </c>
      <c r="E489" s="168"/>
      <c r="F489" s="168">
        <v>57300</v>
      </c>
      <c r="G489" s="169"/>
      <c r="H489" s="170">
        <v>57300</v>
      </c>
      <c r="I489" s="171">
        <v>57300</v>
      </c>
      <c r="J489" s="90"/>
      <c r="K489" s="90"/>
      <c r="L489" s="204"/>
    </row>
    <row r="490" spans="1:12" s="27" customFormat="1" ht="24" outlineLevel="1" x14ac:dyDescent="0.2">
      <c r="A490" s="187" t="s">
        <v>193</v>
      </c>
      <c r="B490" s="116">
        <v>42491</v>
      </c>
      <c r="C490" s="117">
        <v>43381</v>
      </c>
      <c r="D490" s="108">
        <v>50</v>
      </c>
      <c r="E490" s="168">
        <v>60761.19</v>
      </c>
      <c r="F490" s="168"/>
      <c r="G490" s="169"/>
      <c r="H490" s="170">
        <v>60761.19</v>
      </c>
      <c r="I490" s="171">
        <v>60761.19</v>
      </c>
      <c r="J490" s="90"/>
      <c r="K490" s="90"/>
      <c r="L490" s="204"/>
    </row>
    <row r="491" spans="1:12" s="27" customFormat="1" ht="24" outlineLevel="1" x14ac:dyDescent="0.2">
      <c r="A491" s="187" t="s">
        <v>194</v>
      </c>
      <c r="B491" s="116">
        <v>42491</v>
      </c>
      <c r="C491" s="117">
        <v>43330</v>
      </c>
      <c r="D491" s="108">
        <v>50</v>
      </c>
      <c r="E491" s="167">
        <v>60248.6</v>
      </c>
      <c r="F491" s="168"/>
      <c r="G491" s="169"/>
      <c r="H491" s="170">
        <v>60248.6</v>
      </c>
      <c r="I491" s="171">
        <v>60248.6</v>
      </c>
      <c r="J491" s="90"/>
      <c r="K491" s="90"/>
      <c r="L491" s="204"/>
    </row>
    <row r="492" spans="1:12" s="27" customFormat="1" ht="12.75" outlineLevel="1" x14ac:dyDescent="0.2">
      <c r="A492" s="187" t="s">
        <v>1053</v>
      </c>
      <c r="B492" s="116">
        <v>43220</v>
      </c>
      <c r="C492" s="117">
        <v>43357</v>
      </c>
      <c r="D492" s="108">
        <v>50</v>
      </c>
      <c r="E492" s="167">
        <v>5426.46</v>
      </c>
      <c r="F492" s="168"/>
      <c r="G492" s="169"/>
      <c r="H492" s="170">
        <v>5426.46</v>
      </c>
      <c r="I492" s="171">
        <v>5426.46</v>
      </c>
      <c r="J492" s="90"/>
      <c r="K492" s="90"/>
      <c r="L492" s="204"/>
    </row>
    <row r="493" spans="1:12" s="27" customFormat="1" ht="12.75" outlineLevel="1" x14ac:dyDescent="0.2">
      <c r="A493" s="187" t="s">
        <v>1054</v>
      </c>
      <c r="B493" s="116">
        <v>43251</v>
      </c>
      <c r="C493" s="117">
        <v>43505</v>
      </c>
      <c r="D493" s="108">
        <v>50</v>
      </c>
      <c r="E493" s="167">
        <v>20524.75</v>
      </c>
      <c r="F493" s="168"/>
      <c r="G493" s="169"/>
      <c r="H493" s="170">
        <v>20524.75</v>
      </c>
      <c r="I493" s="171">
        <v>20524.75</v>
      </c>
      <c r="J493" s="90"/>
      <c r="K493" s="90"/>
      <c r="L493" s="204"/>
    </row>
    <row r="494" spans="1:12" ht="24" outlineLevel="1" x14ac:dyDescent="0.2">
      <c r="A494" s="187" t="s">
        <v>1055</v>
      </c>
      <c r="B494" s="116">
        <v>43281</v>
      </c>
      <c r="C494" s="117">
        <v>43494</v>
      </c>
      <c r="D494" s="108">
        <v>50</v>
      </c>
      <c r="E494" s="168">
        <v>14871.65</v>
      </c>
      <c r="F494" s="168"/>
      <c r="G494" s="169"/>
      <c r="H494" s="170">
        <v>14871.65</v>
      </c>
      <c r="I494" s="171">
        <v>14871.65</v>
      </c>
      <c r="J494" s="90"/>
      <c r="K494" s="90"/>
      <c r="L494" s="201"/>
    </row>
    <row r="495" spans="1:12" s="4" customFormat="1" ht="31.5" customHeight="1" outlineLevel="1" x14ac:dyDescent="0.2">
      <c r="A495" s="187" t="s">
        <v>1056</v>
      </c>
      <c r="B495" s="116">
        <v>43251</v>
      </c>
      <c r="C495" s="117">
        <v>43512</v>
      </c>
      <c r="D495" s="108">
        <v>50</v>
      </c>
      <c r="E495" s="167">
        <v>42320.52</v>
      </c>
      <c r="F495" s="168"/>
      <c r="G495" s="169"/>
      <c r="H495" s="170">
        <v>42320.52</v>
      </c>
      <c r="I495" s="171">
        <v>42320.52</v>
      </c>
      <c r="J495" s="90"/>
      <c r="K495" s="90"/>
      <c r="L495" s="215"/>
    </row>
    <row r="496" spans="1:12" s="4" customFormat="1" ht="31.5" customHeight="1" outlineLevel="1" x14ac:dyDescent="0.2">
      <c r="A496" s="187" t="s">
        <v>289</v>
      </c>
      <c r="B496" s="116">
        <v>43062</v>
      </c>
      <c r="C496" s="117">
        <v>43316</v>
      </c>
      <c r="D496" s="108">
        <v>20</v>
      </c>
      <c r="E496" s="168"/>
      <c r="F496" s="167">
        <v>41000</v>
      </c>
      <c r="G496" s="169"/>
      <c r="H496" s="170">
        <v>41000</v>
      </c>
      <c r="I496" s="171">
        <v>41000</v>
      </c>
      <c r="J496" s="90"/>
      <c r="K496" s="90"/>
      <c r="L496" s="215"/>
    </row>
    <row r="497" spans="1:12" s="16" customFormat="1" ht="23.25" customHeight="1" outlineLevel="1" x14ac:dyDescent="0.2">
      <c r="A497" s="187" t="s">
        <v>1057</v>
      </c>
      <c r="B497" s="116">
        <v>43251</v>
      </c>
      <c r="C497" s="117">
        <v>43407</v>
      </c>
      <c r="D497" s="108">
        <v>50</v>
      </c>
      <c r="E497" s="168">
        <v>19621.79</v>
      </c>
      <c r="F497" s="168">
        <v>3700</v>
      </c>
      <c r="G497" s="169"/>
      <c r="H497" s="170">
        <v>23321.79</v>
      </c>
      <c r="I497" s="171">
        <v>23321.79</v>
      </c>
      <c r="J497" s="90"/>
      <c r="K497" s="90"/>
      <c r="L497" s="75"/>
    </row>
    <row r="498" spans="1:12" s="16" customFormat="1" ht="23.25" customHeight="1" outlineLevel="1" x14ac:dyDescent="0.2">
      <c r="A498" s="187" t="s">
        <v>1058</v>
      </c>
      <c r="B498" s="116">
        <v>43206</v>
      </c>
      <c r="C498" s="117">
        <v>43390</v>
      </c>
      <c r="D498" s="108">
        <v>20</v>
      </c>
      <c r="E498" s="168"/>
      <c r="F498" s="167">
        <v>8200</v>
      </c>
      <c r="G498" s="169"/>
      <c r="H498" s="170">
        <v>8200</v>
      </c>
      <c r="I498" s="171">
        <v>8200</v>
      </c>
      <c r="J498" s="90"/>
      <c r="K498" s="90"/>
      <c r="L498" s="75"/>
    </row>
    <row r="499" spans="1:12" s="16" customFormat="1" ht="23.25" customHeight="1" outlineLevel="1" x14ac:dyDescent="0.2">
      <c r="A499" s="187" t="s">
        <v>439</v>
      </c>
      <c r="B499" s="116">
        <v>43125</v>
      </c>
      <c r="C499" s="117">
        <v>43403</v>
      </c>
      <c r="D499" s="108">
        <v>50</v>
      </c>
      <c r="E499" s="172">
        <v>22201.14</v>
      </c>
      <c r="F499" s="168">
        <v>7000</v>
      </c>
      <c r="G499" s="169"/>
      <c r="H499" s="170">
        <v>29201.14</v>
      </c>
      <c r="I499" s="171">
        <v>29201.14</v>
      </c>
      <c r="J499" s="90"/>
      <c r="K499" s="90"/>
      <c r="L499" s="75"/>
    </row>
    <row r="500" spans="1:12" s="4" customFormat="1" ht="31.5" customHeight="1" outlineLevel="1" x14ac:dyDescent="0.2">
      <c r="A500" s="187" t="s">
        <v>290</v>
      </c>
      <c r="B500" s="116">
        <v>43080</v>
      </c>
      <c r="C500" s="117">
        <v>43342</v>
      </c>
      <c r="D500" s="108">
        <v>50</v>
      </c>
      <c r="E500" s="172">
        <v>6241.81</v>
      </c>
      <c r="F500" s="168">
        <v>6700</v>
      </c>
      <c r="G500" s="169"/>
      <c r="H500" s="170">
        <v>12941.81</v>
      </c>
      <c r="I500" s="171">
        <v>12941.81</v>
      </c>
      <c r="J500" s="90"/>
      <c r="K500" s="90"/>
      <c r="L500" s="215"/>
    </row>
    <row r="501" spans="1:12" ht="27.75" customHeight="1" outlineLevel="1" x14ac:dyDescent="0.2">
      <c r="A501" s="187" t="s">
        <v>1059</v>
      </c>
      <c r="B501" s="116">
        <v>43220</v>
      </c>
      <c r="C501" s="117">
        <v>43522</v>
      </c>
      <c r="D501" s="108">
        <v>50</v>
      </c>
      <c r="E501" s="167">
        <v>4583.72</v>
      </c>
      <c r="F501" s="168"/>
      <c r="G501" s="169"/>
      <c r="H501" s="170">
        <v>4583.72</v>
      </c>
      <c r="I501" s="171">
        <v>4583.72</v>
      </c>
      <c r="J501" s="90"/>
      <c r="K501" s="90"/>
      <c r="L501" s="201"/>
    </row>
    <row r="502" spans="1:12" ht="24" outlineLevel="1" x14ac:dyDescent="0.2">
      <c r="A502" s="187" t="s">
        <v>1060</v>
      </c>
      <c r="B502" s="116">
        <v>43159</v>
      </c>
      <c r="C502" s="117">
        <v>43414</v>
      </c>
      <c r="D502" s="108">
        <v>50</v>
      </c>
      <c r="E502" s="167">
        <v>5206.5200000000004</v>
      </c>
      <c r="F502" s="168"/>
      <c r="G502" s="169"/>
      <c r="H502" s="170">
        <v>5206.5200000000004</v>
      </c>
      <c r="I502" s="171">
        <v>5206.5200000000004</v>
      </c>
      <c r="J502" s="90"/>
      <c r="K502" s="90"/>
      <c r="L502" s="201"/>
    </row>
    <row r="503" spans="1:12" ht="24" outlineLevel="1" x14ac:dyDescent="0.2">
      <c r="A503" s="187" t="s">
        <v>1061</v>
      </c>
      <c r="B503" s="116">
        <v>43220</v>
      </c>
      <c r="C503" s="117">
        <v>43414</v>
      </c>
      <c r="D503" s="108">
        <v>50</v>
      </c>
      <c r="E503" s="167">
        <v>5928.05</v>
      </c>
      <c r="F503" s="168"/>
      <c r="G503" s="169"/>
      <c r="H503" s="170">
        <v>5928.05</v>
      </c>
      <c r="I503" s="171">
        <v>5928.05</v>
      </c>
      <c r="J503" s="90"/>
      <c r="K503" s="90"/>
      <c r="L503" s="201"/>
    </row>
    <row r="504" spans="1:12" ht="12.75" outlineLevel="1" x14ac:dyDescent="0.2">
      <c r="A504" s="187" t="s">
        <v>440</v>
      </c>
      <c r="B504" s="116">
        <v>43159</v>
      </c>
      <c r="C504" s="117">
        <v>43385</v>
      </c>
      <c r="D504" s="108">
        <v>50</v>
      </c>
      <c r="E504" s="167">
        <v>4923.74</v>
      </c>
      <c r="F504" s="168"/>
      <c r="G504" s="169"/>
      <c r="H504" s="170">
        <v>4923.74</v>
      </c>
      <c r="I504" s="171">
        <v>4923.74</v>
      </c>
      <c r="J504" s="90"/>
      <c r="K504" s="90"/>
      <c r="L504" s="201"/>
    </row>
    <row r="505" spans="1:12" ht="24" outlineLevel="1" x14ac:dyDescent="0.2">
      <c r="A505" s="187" t="s">
        <v>291</v>
      </c>
      <c r="B505" s="116">
        <v>43080</v>
      </c>
      <c r="C505" s="117">
        <v>43355</v>
      </c>
      <c r="D505" s="108">
        <v>50</v>
      </c>
      <c r="E505" s="168">
        <v>4923.74</v>
      </c>
      <c r="F505" s="168">
        <v>5800</v>
      </c>
      <c r="G505" s="169"/>
      <c r="H505" s="170">
        <v>10723.74</v>
      </c>
      <c r="I505" s="171">
        <v>10723.74</v>
      </c>
      <c r="J505" s="90"/>
      <c r="K505" s="90"/>
      <c r="L505" s="201"/>
    </row>
    <row r="506" spans="1:12" ht="12.75" outlineLevel="1" x14ac:dyDescent="0.2">
      <c r="A506" s="187" t="s">
        <v>292</v>
      </c>
      <c r="B506" s="116">
        <v>43100</v>
      </c>
      <c r="C506" s="117">
        <v>43340</v>
      </c>
      <c r="D506" s="108">
        <v>50</v>
      </c>
      <c r="E506" s="167">
        <v>558.4</v>
      </c>
      <c r="F506" s="168"/>
      <c r="G506" s="169"/>
      <c r="H506" s="170">
        <v>558.4</v>
      </c>
      <c r="I506" s="171">
        <v>558.4</v>
      </c>
      <c r="J506" s="90"/>
      <c r="K506" s="90"/>
      <c r="L506" s="201"/>
    </row>
    <row r="507" spans="1:12" ht="12.75" outlineLevel="1" x14ac:dyDescent="0.2">
      <c r="A507" s="187" t="s">
        <v>441</v>
      </c>
      <c r="B507" s="116">
        <v>43125</v>
      </c>
      <c r="C507" s="117">
        <v>43349</v>
      </c>
      <c r="D507" s="108">
        <v>50</v>
      </c>
      <c r="E507" s="172">
        <v>14062.02</v>
      </c>
      <c r="F507" s="168">
        <v>10900</v>
      </c>
      <c r="G507" s="169"/>
      <c r="H507" s="170">
        <v>24962.02</v>
      </c>
      <c r="I507" s="171">
        <v>24962.02</v>
      </c>
      <c r="J507" s="90"/>
      <c r="K507" s="90"/>
      <c r="L507" s="201"/>
    </row>
    <row r="508" spans="1:12" ht="24" outlineLevel="1" x14ac:dyDescent="0.2">
      <c r="A508" s="187" t="s">
        <v>1062</v>
      </c>
      <c r="B508" s="116">
        <v>43251</v>
      </c>
      <c r="C508" s="117">
        <v>43585</v>
      </c>
      <c r="D508" s="108">
        <v>50</v>
      </c>
      <c r="E508" s="167">
        <v>19402.41</v>
      </c>
      <c r="F508" s="168"/>
      <c r="G508" s="169"/>
      <c r="H508" s="170">
        <v>19402.41</v>
      </c>
      <c r="I508" s="171">
        <v>19402.41</v>
      </c>
      <c r="J508" s="90"/>
      <c r="K508" s="90"/>
      <c r="L508" s="201"/>
    </row>
    <row r="509" spans="1:12" ht="24" outlineLevel="1" x14ac:dyDescent="0.2">
      <c r="A509" s="187" t="s">
        <v>1063</v>
      </c>
      <c r="B509" s="116">
        <v>43281</v>
      </c>
      <c r="C509" s="117">
        <v>43565</v>
      </c>
      <c r="D509" s="108">
        <v>50</v>
      </c>
      <c r="E509" s="167">
        <v>8654.6200000000008</v>
      </c>
      <c r="F509" s="168"/>
      <c r="G509" s="169"/>
      <c r="H509" s="170">
        <v>8654.6200000000008</v>
      </c>
      <c r="I509" s="171">
        <v>8654.6200000000008</v>
      </c>
      <c r="J509" s="90"/>
      <c r="K509" s="90"/>
      <c r="L509" s="201"/>
    </row>
    <row r="510" spans="1:12" ht="12.75" outlineLevel="1" x14ac:dyDescent="0.2">
      <c r="A510" s="187" t="s">
        <v>1064</v>
      </c>
      <c r="B510" s="116">
        <v>43220</v>
      </c>
      <c r="C510" s="117">
        <v>43411</v>
      </c>
      <c r="D510" s="108">
        <v>50</v>
      </c>
      <c r="E510" s="167">
        <v>19759.189999999999</v>
      </c>
      <c r="F510" s="168"/>
      <c r="G510" s="169"/>
      <c r="H510" s="170">
        <v>19759.189999999999</v>
      </c>
      <c r="I510" s="171">
        <v>19759.189999999999</v>
      </c>
      <c r="J510" s="90"/>
      <c r="K510" s="90"/>
      <c r="L510" s="201"/>
    </row>
    <row r="511" spans="1:12" ht="24" outlineLevel="1" x14ac:dyDescent="0.2">
      <c r="A511" s="187" t="s">
        <v>1065</v>
      </c>
      <c r="B511" s="116">
        <v>43250</v>
      </c>
      <c r="C511" s="117">
        <v>43405</v>
      </c>
      <c r="D511" s="108">
        <v>20</v>
      </c>
      <c r="E511" s="168"/>
      <c r="F511" s="167">
        <v>35000</v>
      </c>
      <c r="G511" s="169"/>
      <c r="H511" s="170">
        <v>35000</v>
      </c>
      <c r="I511" s="171">
        <v>35000</v>
      </c>
      <c r="J511" s="90"/>
      <c r="K511" s="90"/>
      <c r="L511" s="201"/>
    </row>
    <row r="512" spans="1:12" ht="12.75" outlineLevel="1" x14ac:dyDescent="0.2">
      <c r="A512" s="187" t="s">
        <v>1066</v>
      </c>
      <c r="B512" s="116">
        <v>43281</v>
      </c>
      <c r="C512" s="117">
        <v>43505</v>
      </c>
      <c r="D512" s="108">
        <v>50</v>
      </c>
      <c r="E512" s="167">
        <v>7105.35</v>
      </c>
      <c r="F512" s="168"/>
      <c r="G512" s="169"/>
      <c r="H512" s="170">
        <v>7105.35</v>
      </c>
      <c r="I512" s="171">
        <v>7105.35</v>
      </c>
      <c r="J512" s="90"/>
      <c r="K512" s="90"/>
      <c r="L512" s="201"/>
    </row>
    <row r="513" spans="1:12" ht="12.75" outlineLevel="1" x14ac:dyDescent="0.2">
      <c r="A513" s="187" t="s">
        <v>442</v>
      </c>
      <c r="B513" s="116">
        <v>43125</v>
      </c>
      <c r="C513" s="117">
        <v>43350</v>
      </c>
      <c r="D513" s="108">
        <v>50</v>
      </c>
      <c r="E513" s="168"/>
      <c r="F513" s="167">
        <v>6600</v>
      </c>
      <c r="G513" s="169"/>
      <c r="H513" s="170">
        <v>6600</v>
      </c>
      <c r="I513" s="171">
        <v>6600</v>
      </c>
      <c r="J513" s="90"/>
      <c r="K513" s="90"/>
      <c r="L513" s="201"/>
    </row>
    <row r="514" spans="1:12" ht="24" outlineLevel="1" x14ac:dyDescent="0.2">
      <c r="A514" s="187" t="s">
        <v>1067</v>
      </c>
      <c r="B514" s="116">
        <v>43281</v>
      </c>
      <c r="C514" s="117">
        <v>43386</v>
      </c>
      <c r="D514" s="108">
        <v>50</v>
      </c>
      <c r="E514" s="167">
        <v>19927.099999999999</v>
      </c>
      <c r="F514" s="168"/>
      <c r="G514" s="169"/>
      <c r="H514" s="170">
        <v>19927.099999999999</v>
      </c>
      <c r="I514" s="171">
        <v>19927.099999999999</v>
      </c>
      <c r="J514" s="90"/>
      <c r="K514" s="90"/>
      <c r="L514" s="201"/>
    </row>
    <row r="515" spans="1:12" ht="12.75" outlineLevel="1" x14ac:dyDescent="0.2">
      <c r="A515" s="187" t="s">
        <v>293</v>
      </c>
      <c r="B515" s="116">
        <v>43070</v>
      </c>
      <c r="C515" s="117">
        <v>43369</v>
      </c>
      <c r="D515" s="108">
        <v>90</v>
      </c>
      <c r="E515" s="168">
        <v>82279.28</v>
      </c>
      <c r="F515" s="168">
        <v>7100</v>
      </c>
      <c r="G515" s="169"/>
      <c r="H515" s="170">
        <v>89379.28</v>
      </c>
      <c r="I515" s="171">
        <v>89379.28</v>
      </c>
      <c r="J515" s="90"/>
      <c r="K515" s="90"/>
      <c r="L515" s="201"/>
    </row>
    <row r="516" spans="1:12" ht="12.75" outlineLevel="1" x14ac:dyDescent="0.2">
      <c r="A516" s="187" t="s">
        <v>294</v>
      </c>
      <c r="B516" s="116">
        <v>43064</v>
      </c>
      <c r="C516" s="117">
        <v>43327</v>
      </c>
      <c r="D516" s="108">
        <v>50</v>
      </c>
      <c r="E516" s="168">
        <v>5166.5600000000004</v>
      </c>
      <c r="F516" s="168">
        <v>5500</v>
      </c>
      <c r="G516" s="169"/>
      <c r="H516" s="170">
        <v>10666.56</v>
      </c>
      <c r="I516" s="171">
        <v>10666.56</v>
      </c>
      <c r="J516" s="90"/>
      <c r="K516" s="90"/>
      <c r="L516" s="201"/>
    </row>
    <row r="517" spans="1:12" ht="24" outlineLevel="1" x14ac:dyDescent="0.2">
      <c r="A517" s="187" t="s">
        <v>1068</v>
      </c>
      <c r="B517" s="116">
        <v>43281</v>
      </c>
      <c r="C517" s="117">
        <v>43484</v>
      </c>
      <c r="D517" s="108">
        <v>50</v>
      </c>
      <c r="E517" s="167">
        <v>5451.74</v>
      </c>
      <c r="F517" s="168"/>
      <c r="G517" s="169"/>
      <c r="H517" s="170">
        <v>5451.74</v>
      </c>
      <c r="I517" s="171">
        <v>5451.74</v>
      </c>
      <c r="J517" s="90"/>
      <c r="K517" s="90"/>
      <c r="L517" s="201"/>
    </row>
    <row r="518" spans="1:12" ht="24" outlineLevel="1" x14ac:dyDescent="0.2">
      <c r="A518" s="187" t="s">
        <v>1069</v>
      </c>
      <c r="B518" s="116">
        <v>43281</v>
      </c>
      <c r="C518" s="117">
        <v>43462</v>
      </c>
      <c r="D518" s="108">
        <v>50</v>
      </c>
      <c r="E518" s="167">
        <v>6127.36</v>
      </c>
      <c r="F518" s="168"/>
      <c r="G518" s="169"/>
      <c r="H518" s="170">
        <v>6127.36</v>
      </c>
      <c r="I518" s="171">
        <v>6127.36</v>
      </c>
      <c r="J518" s="90"/>
      <c r="K518" s="90"/>
      <c r="L518" s="201"/>
    </row>
    <row r="519" spans="1:12" ht="12.75" outlineLevel="1" x14ac:dyDescent="0.2">
      <c r="A519" s="187" t="s">
        <v>1070</v>
      </c>
      <c r="B519" s="116">
        <v>43251</v>
      </c>
      <c r="C519" s="117">
        <v>43558</v>
      </c>
      <c r="D519" s="108">
        <v>50</v>
      </c>
      <c r="E519" s="167">
        <v>3638.04</v>
      </c>
      <c r="F519" s="168"/>
      <c r="G519" s="169"/>
      <c r="H519" s="170">
        <v>3638.04</v>
      </c>
      <c r="I519" s="171">
        <v>3638.04</v>
      </c>
      <c r="J519" s="90"/>
      <c r="K519" s="90"/>
      <c r="L519" s="201"/>
    </row>
    <row r="520" spans="1:12" ht="12.75" outlineLevel="1" x14ac:dyDescent="0.2">
      <c r="A520" s="187" t="s">
        <v>1071</v>
      </c>
      <c r="B520" s="116">
        <v>43080</v>
      </c>
      <c r="C520" s="117">
        <v>43347</v>
      </c>
      <c r="D520" s="108">
        <v>50</v>
      </c>
      <c r="E520" s="168"/>
      <c r="F520" s="167">
        <v>6300</v>
      </c>
      <c r="G520" s="169"/>
      <c r="H520" s="170">
        <v>6300</v>
      </c>
      <c r="I520" s="171">
        <v>6300</v>
      </c>
      <c r="J520" s="90"/>
      <c r="K520" s="90"/>
      <c r="L520" s="201"/>
    </row>
    <row r="521" spans="1:12" ht="12.75" outlineLevel="1" x14ac:dyDescent="0.2">
      <c r="A521" s="187" t="s">
        <v>295</v>
      </c>
      <c r="B521" s="116">
        <v>43100</v>
      </c>
      <c r="C521" s="117">
        <v>43403</v>
      </c>
      <c r="D521" s="108">
        <v>50</v>
      </c>
      <c r="E521" s="167">
        <v>6504.46</v>
      </c>
      <c r="F521" s="168"/>
      <c r="G521" s="169"/>
      <c r="H521" s="170">
        <v>6504.46</v>
      </c>
      <c r="I521" s="171">
        <v>6504.46</v>
      </c>
      <c r="J521" s="90"/>
      <c r="K521" s="90"/>
      <c r="L521" s="201"/>
    </row>
    <row r="522" spans="1:12" ht="12.75" outlineLevel="1" x14ac:dyDescent="0.2">
      <c r="A522" s="187" t="s">
        <v>1072</v>
      </c>
      <c r="B522" s="116">
        <v>43281</v>
      </c>
      <c r="C522" s="117">
        <v>43510</v>
      </c>
      <c r="D522" s="108">
        <v>50</v>
      </c>
      <c r="E522" s="167">
        <v>3385.62</v>
      </c>
      <c r="F522" s="168"/>
      <c r="G522" s="169"/>
      <c r="H522" s="170">
        <v>3385.62</v>
      </c>
      <c r="I522" s="171">
        <v>3385.62</v>
      </c>
      <c r="J522" s="90"/>
      <c r="K522" s="90"/>
      <c r="L522" s="201"/>
    </row>
    <row r="523" spans="1:12" ht="12.75" outlineLevel="1" x14ac:dyDescent="0.2">
      <c r="A523" s="187" t="s">
        <v>443</v>
      </c>
      <c r="B523" s="116">
        <v>43125</v>
      </c>
      <c r="C523" s="117">
        <v>43349</v>
      </c>
      <c r="D523" s="108">
        <v>50</v>
      </c>
      <c r="E523" s="172">
        <v>18941.759999999998</v>
      </c>
      <c r="F523" s="168">
        <v>9400</v>
      </c>
      <c r="G523" s="169"/>
      <c r="H523" s="170">
        <v>28341.759999999998</v>
      </c>
      <c r="I523" s="171">
        <v>28341.759999999998</v>
      </c>
      <c r="J523" s="90"/>
      <c r="K523" s="90"/>
      <c r="L523" s="201"/>
    </row>
    <row r="524" spans="1:12" ht="12.75" outlineLevel="1" x14ac:dyDescent="0.2">
      <c r="A524" s="187" t="s">
        <v>1073</v>
      </c>
      <c r="B524" s="116">
        <v>43251</v>
      </c>
      <c r="C524" s="117">
        <v>43475</v>
      </c>
      <c r="D524" s="108">
        <v>50</v>
      </c>
      <c r="E524" s="167">
        <v>6650.72</v>
      </c>
      <c r="F524" s="168"/>
      <c r="G524" s="169"/>
      <c r="H524" s="170">
        <v>6650.72</v>
      </c>
      <c r="I524" s="171">
        <v>6650.72</v>
      </c>
      <c r="J524" s="90"/>
      <c r="K524" s="90"/>
      <c r="L524" s="201"/>
    </row>
    <row r="525" spans="1:12" ht="24" outlineLevel="1" x14ac:dyDescent="0.2">
      <c r="A525" s="187" t="s">
        <v>195</v>
      </c>
      <c r="B525" s="116">
        <v>42766</v>
      </c>
      <c r="C525" s="117">
        <v>43359</v>
      </c>
      <c r="D525" s="108">
        <v>50</v>
      </c>
      <c r="E525" s="167">
        <v>4568.78</v>
      </c>
      <c r="F525" s="168"/>
      <c r="G525" s="169"/>
      <c r="H525" s="170">
        <v>4568.78</v>
      </c>
      <c r="I525" s="171">
        <v>4568.78</v>
      </c>
      <c r="J525" s="90"/>
      <c r="K525" s="90"/>
      <c r="L525" s="201"/>
    </row>
    <row r="526" spans="1:12" ht="24" outlineLevel="1" x14ac:dyDescent="0.2">
      <c r="A526" s="187" t="s">
        <v>444</v>
      </c>
      <c r="B526" s="116">
        <v>43159</v>
      </c>
      <c r="C526" s="117">
        <v>43357</v>
      </c>
      <c r="D526" s="108">
        <v>50</v>
      </c>
      <c r="E526" s="167">
        <v>2507.1</v>
      </c>
      <c r="F526" s="168"/>
      <c r="G526" s="169"/>
      <c r="H526" s="170">
        <v>2507.1</v>
      </c>
      <c r="I526" s="171">
        <v>2507.1</v>
      </c>
      <c r="J526" s="90"/>
      <c r="K526" s="90"/>
      <c r="L526" s="201"/>
    </row>
    <row r="527" spans="1:12" ht="24" outlineLevel="1" x14ac:dyDescent="0.2">
      <c r="A527" s="187" t="s">
        <v>196</v>
      </c>
      <c r="B527" s="116">
        <v>42522</v>
      </c>
      <c r="C527" s="117">
        <v>43373</v>
      </c>
      <c r="D527" s="108">
        <v>60</v>
      </c>
      <c r="E527" s="168">
        <v>17004.03</v>
      </c>
      <c r="F527" s="168">
        <v>6161.53</v>
      </c>
      <c r="G527" s="169"/>
      <c r="H527" s="170">
        <v>23165.56</v>
      </c>
      <c r="I527" s="171">
        <v>23165.56</v>
      </c>
      <c r="J527" s="90"/>
      <c r="K527" s="90"/>
      <c r="L527" s="201"/>
    </row>
    <row r="528" spans="1:12" ht="12.75" outlineLevel="1" x14ac:dyDescent="0.2">
      <c r="A528" s="187" t="s">
        <v>445</v>
      </c>
      <c r="B528" s="116">
        <v>43206</v>
      </c>
      <c r="C528" s="117">
        <v>43350</v>
      </c>
      <c r="D528" s="108">
        <v>50</v>
      </c>
      <c r="E528" s="168">
        <v>325.87</v>
      </c>
      <c r="F528" s="168">
        <v>6900</v>
      </c>
      <c r="G528" s="169"/>
      <c r="H528" s="170">
        <v>7225.87</v>
      </c>
      <c r="I528" s="171">
        <v>7225.87</v>
      </c>
      <c r="J528" s="90"/>
      <c r="K528" s="90"/>
      <c r="L528" s="201"/>
    </row>
    <row r="529" spans="1:12" ht="12.75" outlineLevel="1" x14ac:dyDescent="0.2">
      <c r="A529" s="187" t="s">
        <v>1074</v>
      </c>
      <c r="B529" s="116">
        <v>43251</v>
      </c>
      <c r="C529" s="117">
        <v>43516</v>
      </c>
      <c r="D529" s="108">
        <v>50</v>
      </c>
      <c r="E529" s="167">
        <v>5132.75</v>
      </c>
      <c r="F529" s="168"/>
      <c r="G529" s="169"/>
      <c r="H529" s="170">
        <v>5132.75</v>
      </c>
      <c r="I529" s="171">
        <v>5132.75</v>
      </c>
      <c r="J529" s="90"/>
      <c r="K529" s="90"/>
      <c r="L529" s="201"/>
    </row>
    <row r="530" spans="1:12" ht="24" outlineLevel="1" x14ac:dyDescent="0.2">
      <c r="A530" s="187" t="s">
        <v>198</v>
      </c>
      <c r="B530" s="116">
        <v>43101</v>
      </c>
      <c r="C530" s="117">
        <v>43363</v>
      </c>
      <c r="D530" s="108">
        <v>50</v>
      </c>
      <c r="E530" s="168">
        <v>6061.63</v>
      </c>
      <c r="F530" s="168"/>
      <c r="G530" s="169"/>
      <c r="H530" s="170">
        <v>6061.63</v>
      </c>
      <c r="I530" s="171">
        <v>6061.63</v>
      </c>
      <c r="J530" s="90"/>
      <c r="K530" s="90"/>
      <c r="L530" s="201"/>
    </row>
    <row r="531" spans="1:12" ht="24" outlineLevel="1" x14ac:dyDescent="0.2">
      <c r="A531" s="187" t="s">
        <v>446</v>
      </c>
      <c r="B531" s="116">
        <v>43131</v>
      </c>
      <c r="C531" s="117">
        <v>43390</v>
      </c>
      <c r="D531" s="108">
        <v>50</v>
      </c>
      <c r="E531" s="167">
        <v>590.22</v>
      </c>
      <c r="F531" s="168"/>
      <c r="G531" s="169"/>
      <c r="H531" s="170">
        <v>590.22</v>
      </c>
      <c r="I531" s="171">
        <v>590.22</v>
      </c>
      <c r="J531" s="90"/>
      <c r="K531" s="90"/>
      <c r="L531" s="201"/>
    </row>
    <row r="532" spans="1:12" ht="24" outlineLevel="1" x14ac:dyDescent="0.2">
      <c r="A532" s="187" t="s">
        <v>1075</v>
      </c>
      <c r="B532" s="116">
        <v>43206</v>
      </c>
      <c r="C532" s="117">
        <v>43403</v>
      </c>
      <c r="D532" s="108">
        <v>50</v>
      </c>
      <c r="E532" s="168">
        <v>4608.3100000000004</v>
      </c>
      <c r="F532" s="168">
        <v>5600</v>
      </c>
      <c r="G532" s="169"/>
      <c r="H532" s="170">
        <v>10208.31</v>
      </c>
      <c r="I532" s="171">
        <v>10208.31</v>
      </c>
      <c r="J532" s="90"/>
      <c r="K532" s="90"/>
      <c r="L532" s="201"/>
    </row>
    <row r="533" spans="1:12" ht="24" outlineLevel="1" x14ac:dyDescent="0.2">
      <c r="A533" s="187" t="s">
        <v>199</v>
      </c>
      <c r="B533" s="116">
        <v>42767</v>
      </c>
      <c r="C533" s="117">
        <v>43617</v>
      </c>
      <c r="D533" s="108">
        <v>50</v>
      </c>
      <c r="E533" s="168">
        <v>4826.96</v>
      </c>
      <c r="F533" s="168">
        <v>7300</v>
      </c>
      <c r="G533" s="169"/>
      <c r="H533" s="170">
        <v>12126.96</v>
      </c>
      <c r="I533" s="171">
        <v>12126.96</v>
      </c>
      <c r="J533" s="90"/>
      <c r="K533" s="90"/>
      <c r="L533" s="201"/>
    </row>
    <row r="534" spans="1:12" ht="24" outlineLevel="1" x14ac:dyDescent="0.2">
      <c r="A534" s="187" t="s">
        <v>200</v>
      </c>
      <c r="B534" s="116">
        <v>43009</v>
      </c>
      <c r="C534" s="117">
        <v>43347</v>
      </c>
      <c r="D534" s="108">
        <v>50</v>
      </c>
      <c r="E534" s="168">
        <v>2790.96</v>
      </c>
      <c r="F534" s="168">
        <v>6000</v>
      </c>
      <c r="G534" s="169"/>
      <c r="H534" s="170">
        <v>8790.9599999999991</v>
      </c>
      <c r="I534" s="171">
        <v>8790.9599999999991</v>
      </c>
      <c r="J534" s="90"/>
      <c r="K534" s="90"/>
      <c r="L534" s="201"/>
    </row>
    <row r="535" spans="1:12" ht="24" outlineLevel="1" x14ac:dyDescent="0.2">
      <c r="A535" s="187" t="s">
        <v>1076</v>
      </c>
      <c r="B535" s="116">
        <v>43221</v>
      </c>
      <c r="C535" s="117">
        <v>43474</v>
      </c>
      <c r="D535" s="108">
        <v>50</v>
      </c>
      <c r="E535" s="167">
        <v>45359.06</v>
      </c>
      <c r="F535" s="168"/>
      <c r="G535" s="169"/>
      <c r="H535" s="170">
        <v>45359.06</v>
      </c>
      <c r="I535" s="171">
        <v>45359.06</v>
      </c>
      <c r="J535" s="90"/>
      <c r="K535" s="90"/>
      <c r="L535" s="201"/>
    </row>
    <row r="536" spans="1:12" ht="24" outlineLevel="1" x14ac:dyDescent="0.2">
      <c r="A536" s="187" t="s">
        <v>1077</v>
      </c>
      <c r="B536" s="116">
        <v>42767</v>
      </c>
      <c r="C536" s="117">
        <v>43373</v>
      </c>
      <c r="D536" s="108">
        <v>50</v>
      </c>
      <c r="E536" s="168">
        <v>102517.4</v>
      </c>
      <c r="F536" s="168">
        <v>8500</v>
      </c>
      <c r="G536" s="169"/>
      <c r="H536" s="170">
        <v>111017.4</v>
      </c>
      <c r="I536" s="171">
        <v>111017.4</v>
      </c>
      <c r="J536" s="90"/>
      <c r="K536" s="90"/>
      <c r="L536" s="201"/>
    </row>
    <row r="537" spans="1:12" ht="12.75" outlineLevel="1" x14ac:dyDescent="0.2">
      <c r="A537" s="187" t="s">
        <v>201</v>
      </c>
      <c r="B537" s="116">
        <v>42823</v>
      </c>
      <c r="C537" s="117">
        <v>43463</v>
      </c>
      <c r="D537" s="108">
        <v>20</v>
      </c>
      <c r="E537" s="168"/>
      <c r="F537" s="167">
        <v>9500</v>
      </c>
      <c r="G537" s="169"/>
      <c r="H537" s="170">
        <v>9500</v>
      </c>
      <c r="I537" s="171">
        <v>9500</v>
      </c>
      <c r="J537" s="90"/>
      <c r="K537" s="90"/>
      <c r="L537" s="201"/>
    </row>
    <row r="538" spans="1:12" ht="36" outlineLevel="1" x14ac:dyDescent="0.2">
      <c r="A538" s="187" t="s">
        <v>202</v>
      </c>
      <c r="B538" s="116">
        <v>42726</v>
      </c>
      <c r="C538" s="117">
        <v>43267</v>
      </c>
      <c r="D538" s="108">
        <v>50</v>
      </c>
      <c r="E538" s="168">
        <v>6948.9</v>
      </c>
      <c r="F538" s="168">
        <v>5000</v>
      </c>
      <c r="G538" s="169"/>
      <c r="H538" s="170">
        <v>11948.9</v>
      </c>
      <c r="I538" s="171">
        <v>11948.9</v>
      </c>
      <c r="J538" s="90"/>
      <c r="K538" s="90"/>
      <c r="L538" s="201"/>
    </row>
    <row r="539" spans="1:12" ht="24" outlineLevel="1" x14ac:dyDescent="0.2">
      <c r="A539" s="187" t="s">
        <v>447</v>
      </c>
      <c r="B539" s="116">
        <v>43160</v>
      </c>
      <c r="C539" s="117">
        <v>43420</v>
      </c>
      <c r="D539" s="108">
        <v>20</v>
      </c>
      <c r="E539" s="168"/>
      <c r="F539" s="167">
        <v>35000</v>
      </c>
      <c r="G539" s="169"/>
      <c r="H539" s="170">
        <v>35000</v>
      </c>
      <c r="I539" s="171">
        <v>35000</v>
      </c>
      <c r="J539" s="90"/>
      <c r="K539" s="90"/>
      <c r="L539" s="201"/>
    </row>
    <row r="540" spans="1:12" ht="12.75" outlineLevel="1" x14ac:dyDescent="0.2">
      <c r="A540" s="187" t="s">
        <v>296</v>
      </c>
      <c r="B540" s="116">
        <v>43038</v>
      </c>
      <c r="C540" s="117">
        <v>43474</v>
      </c>
      <c r="D540" s="108">
        <v>20</v>
      </c>
      <c r="E540" s="168"/>
      <c r="F540" s="167">
        <v>6500</v>
      </c>
      <c r="G540" s="169"/>
      <c r="H540" s="170">
        <v>6500</v>
      </c>
      <c r="I540" s="171">
        <v>6500</v>
      </c>
      <c r="J540" s="90"/>
      <c r="K540" s="90"/>
      <c r="L540" s="201"/>
    </row>
    <row r="541" spans="1:12" ht="24" outlineLevel="1" x14ac:dyDescent="0.2">
      <c r="A541" s="187" t="s">
        <v>203</v>
      </c>
      <c r="B541" s="116">
        <v>42795</v>
      </c>
      <c r="C541" s="117">
        <v>43445</v>
      </c>
      <c r="D541" s="108">
        <v>30</v>
      </c>
      <c r="E541" s="168">
        <v>24673.33</v>
      </c>
      <c r="F541" s="168">
        <v>28661.53</v>
      </c>
      <c r="G541" s="169"/>
      <c r="H541" s="170">
        <v>53334.86</v>
      </c>
      <c r="I541" s="171">
        <v>53334.86</v>
      </c>
      <c r="J541" s="90"/>
      <c r="K541" s="90"/>
      <c r="L541" s="201"/>
    </row>
    <row r="542" spans="1:12" ht="12.75" outlineLevel="1" x14ac:dyDescent="0.2">
      <c r="A542" s="187" t="s">
        <v>204</v>
      </c>
      <c r="B542" s="116">
        <v>42845</v>
      </c>
      <c r="C542" s="117">
        <v>43723</v>
      </c>
      <c r="D542" s="108">
        <v>50</v>
      </c>
      <c r="E542" s="168">
        <v>57972.1</v>
      </c>
      <c r="F542" s="168">
        <v>20000</v>
      </c>
      <c r="G542" s="169"/>
      <c r="H542" s="170">
        <v>77972.100000000006</v>
      </c>
      <c r="I542" s="171">
        <v>77972.100000000006</v>
      </c>
      <c r="J542" s="90"/>
      <c r="K542" s="90"/>
      <c r="L542" s="201"/>
    </row>
    <row r="543" spans="1:12" ht="24" outlineLevel="1" x14ac:dyDescent="0.2">
      <c r="A543" s="187" t="s">
        <v>205</v>
      </c>
      <c r="B543" s="116">
        <v>43191</v>
      </c>
      <c r="C543" s="117">
        <v>43465</v>
      </c>
      <c r="D543" s="108">
        <v>20</v>
      </c>
      <c r="E543" s="168"/>
      <c r="F543" s="168">
        <v>6503.02</v>
      </c>
      <c r="G543" s="169"/>
      <c r="H543" s="170">
        <v>6503.02</v>
      </c>
      <c r="I543" s="171">
        <v>6503.02</v>
      </c>
      <c r="J543" s="90"/>
      <c r="K543" s="90"/>
      <c r="L543" s="201"/>
    </row>
    <row r="544" spans="1:12" ht="24" outlineLevel="1" x14ac:dyDescent="0.2">
      <c r="A544" s="187" t="s">
        <v>297</v>
      </c>
      <c r="B544" s="116">
        <v>43122</v>
      </c>
      <c r="C544" s="117">
        <v>43425</v>
      </c>
      <c r="D544" s="108">
        <v>50</v>
      </c>
      <c r="E544" s="168">
        <v>74387.7</v>
      </c>
      <c r="F544" s="168">
        <v>9184.61</v>
      </c>
      <c r="G544" s="169"/>
      <c r="H544" s="170">
        <v>83572.31</v>
      </c>
      <c r="I544" s="171">
        <v>83572.31</v>
      </c>
      <c r="J544" s="90"/>
      <c r="K544" s="90"/>
      <c r="L544" s="201"/>
    </row>
    <row r="545" spans="1:12" ht="12.75" outlineLevel="1" x14ac:dyDescent="0.2">
      <c r="A545" s="187" t="s">
        <v>298</v>
      </c>
      <c r="B545" s="116">
        <v>43018</v>
      </c>
      <c r="C545" s="117">
        <v>43334</v>
      </c>
      <c r="D545" s="108"/>
      <c r="E545" s="168"/>
      <c r="F545" s="168">
        <v>50000</v>
      </c>
      <c r="G545" s="169"/>
      <c r="H545" s="170">
        <v>50000</v>
      </c>
      <c r="I545" s="171">
        <v>50000</v>
      </c>
      <c r="J545" s="90"/>
      <c r="K545" s="90"/>
      <c r="L545" s="201"/>
    </row>
    <row r="546" spans="1:12" ht="24" outlineLevel="1" x14ac:dyDescent="0.2">
      <c r="A546" s="187" t="s">
        <v>206</v>
      </c>
      <c r="B546" s="116">
        <v>43009</v>
      </c>
      <c r="C546" s="117">
        <v>43539</v>
      </c>
      <c r="D546" s="108">
        <v>20</v>
      </c>
      <c r="E546" s="168">
        <v>46382.21</v>
      </c>
      <c r="F546" s="168">
        <v>6500</v>
      </c>
      <c r="G546" s="169"/>
      <c r="H546" s="170">
        <v>52882.21</v>
      </c>
      <c r="I546" s="171">
        <v>52882.21</v>
      </c>
      <c r="J546" s="90"/>
      <c r="K546" s="90"/>
      <c r="L546" s="201"/>
    </row>
    <row r="547" spans="1:12" ht="12.75" outlineLevel="1" x14ac:dyDescent="0.2">
      <c r="A547" s="187" t="s">
        <v>197</v>
      </c>
      <c r="B547" s="116">
        <v>43101</v>
      </c>
      <c r="C547" s="117">
        <v>43418</v>
      </c>
      <c r="D547" s="108">
        <v>10</v>
      </c>
      <c r="E547" s="168"/>
      <c r="F547" s="168">
        <v>90382.07</v>
      </c>
      <c r="G547" s="169"/>
      <c r="H547" s="170">
        <v>90382.07</v>
      </c>
      <c r="I547" s="171">
        <v>90382.07</v>
      </c>
      <c r="J547" s="90"/>
      <c r="K547" s="90"/>
      <c r="L547" s="201"/>
    </row>
    <row r="548" spans="1:12" ht="24" outlineLevel="1" x14ac:dyDescent="0.2">
      <c r="A548" s="187" t="s">
        <v>275</v>
      </c>
      <c r="B548" s="116">
        <v>43069</v>
      </c>
      <c r="C548" s="117">
        <v>43313</v>
      </c>
      <c r="D548" s="108">
        <v>10</v>
      </c>
      <c r="E548" s="168"/>
      <c r="F548" s="167">
        <v>35000</v>
      </c>
      <c r="G548" s="169"/>
      <c r="H548" s="170">
        <v>35000</v>
      </c>
      <c r="I548" s="171">
        <v>35000</v>
      </c>
      <c r="J548" s="90"/>
      <c r="K548" s="90"/>
      <c r="L548" s="201"/>
    </row>
    <row r="549" spans="1:12" ht="12.75" outlineLevel="1" x14ac:dyDescent="0.2">
      <c r="A549" s="187" t="s">
        <v>276</v>
      </c>
      <c r="B549" s="116">
        <v>43191</v>
      </c>
      <c r="C549" s="117">
        <v>43411</v>
      </c>
      <c r="D549" s="108">
        <v>10</v>
      </c>
      <c r="E549" s="168"/>
      <c r="F549" s="168">
        <v>27800.53</v>
      </c>
      <c r="G549" s="169"/>
      <c r="H549" s="170">
        <v>27800.53</v>
      </c>
      <c r="I549" s="171">
        <v>27800.53</v>
      </c>
      <c r="J549" s="90"/>
      <c r="K549" s="90"/>
      <c r="L549" s="201"/>
    </row>
    <row r="550" spans="1:12" ht="12.75" outlineLevel="1" x14ac:dyDescent="0.2">
      <c r="A550" s="187" t="s">
        <v>217</v>
      </c>
      <c r="B550" s="116">
        <v>43101</v>
      </c>
      <c r="C550" s="117">
        <v>43440</v>
      </c>
      <c r="D550" s="108">
        <v>10</v>
      </c>
      <c r="E550" s="168"/>
      <c r="F550" s="168">
        <v>17450.07</v>
      </c>
      <c r="G550" s="169"/>
      <c r="H550" s="170">
        <v>17450.07</v>
      </c>
      <c r="I550" s="171">
        <v>17450.07</v>
      </c>
      <c r="J550" s="90"/>
      <c r="K550" s="90"/>
      <c r="L550" s="201"/>
    </row>
    <row r="551" spans="1:12" ht="24" outlineLevel="1" x14ac:dyDescent="0.2">
      <c r="A551" s="187" t="s">
        <v>273</v>
      </c>
      <c r="B551" s="116">
        <v>43070</v>
      </c>
      <c r="C551" s="117">
        <v>43348</v>
      </c>
      <c r="D551" s="108">
        <v>10</v>
      </c>
      <c r="E551" s="168"/>
      <c r="F551" s="167">
        <v>11300</v>
      </c>
      <c r="G551" s="169"/>
      <c r="H551" s="170">
        <v>11300</v>
      </c>
      <c r="I551" s="171">
        <v>11300</v>
      </c>
      <c r="J551" s="90"/>
      <c r="K551" s="90"/>
      <c r="L551" s="201"/>
    </row>
    <row r="552" spans="1:12" ht="12.75" outlineLevel="1" x14ac:dyDescent="0.2">
      <c r="A552" s="187" t="s">
        <v>274</v>
      </c>
      <c r="B552" s="116">
        <v>43070</v>
      </c>
      <c r="C552" s="117">
        <v>43283</v>
      </c>
      <c r="D552" s="108">
        <v>10</v>
      </c>
      <c r="E552" s="168"/>
      <c r="F552" s="167">
        <v>10000</v>
      </c>
      <c r="G552" s="169"/>
      <c r="H552" s="170">
        <v>10000</v>
      </c>
      <c r="I552" s="171">
        <v>10000</v>
      </c>
      <c r="J552" s="90"/>
      <c r="K552" s="90"/>
      <c r="L552" s="201"/>
    </row>
    <row r="553" spans="1:12" ht="12.75" outlineLevel="1" x14ac:dyDescent="0.2">
      <c r="A553" s="187" t="s">
        <v>1078</v>
      </c>
      <c r="B553" s="116">
        <v>43281</v>
      </c>
      <c r="C553" s="117">
        <v>43452</v>
      </c>
      <c r="D553" s="108">
        <v>10</v>
      </c>
      <c r="E553" s="168"/>
      <c r="F553" s="167">
        <v>24100</v>
      </c>
      <c r="G553" s="169"/>
      <c r="H553" s="170">
        <v>24100</v>
      </c>
      <c r="I553" s="171">
        <v>24100</v>
      </c>
      <c r="J553" s="90"/>
      <c r="K553" s="90"/>
      <c r="L553" s="201"/>
    </row>
    <row r="554" spans="1:12" ht="24" outlineLevel="1" x14ac:dyDescent="0.2">
      <c r="A554" s="187" t="s">
        <v>1079</v>
      </c>
      <c r="B554" s="116">
        <v>43220</v>
      </c>
      <c r="C554" s="117">
        <v>43435</v>
      </c>
      <c r="D554" s="108">
        <v>10</v>
      </c>
      <c r="E554" s="168"/>
      <c r="F554" s="167">
        <v>6000</v>
      </c>
      <c r="G554" s="169"/>
      <c r="H554" s="170">
        <v>6000</v>
      </c>
      <c r="I554" s="171">
        <v>6000</v>
      </c>
      <c r="J554" s="90"/>
      <c r="K554" s="90"/>
      <c r="L554" s="201"/>
    </row>
    <row r="555" spans="1:12" x14ac:dyDescent="0.2">
      <c r="A555" s="20"/>
      <c r="B555" s="103"/>
      <c r="C555" s="103"/>
      <c r="D555" s="194"/>
      <c r="E555" s="68">
        <f>SUM(E408:E554)</f>
        <v>1474300.6500000001</v>
      </c>
      <c r="F555" s="68">
        <f>SUM(F408:F554)</f>
        <v>909243.36</v>
      </c>
      <c r="G555" s="68">
        <f>SUM(G408:G413)</f>
        <v>0</v>
      </c>
      <c r="H555" s="58">
        <f>SUM(H408:H554)</f>
        <v>2383544.0100000002</v>
      </c>
      <c r="I555" s="58">
        <f>SUM(I408:I554)</f>
        <v>2383544.0100000002</v>
      </c>
      <c r="J555" s="57"/>
      <c r="K555" s="57"/>
      <c r="L555" s="201"/>
    </row>
    <row r="556" spans="1:12" x14ac:dyDescent="0.2">
      <c r="A556" s="24"/>
      <c r="B556" s="104"/>
      <c r="C556" s="103"/>
      <c r="D556" s="194"/>
      <c r="E556" s="14"/>
      <c r="F556" s="14"/>
      <c r="G556" s="14"/>
      <c r="H556" s="58"/>
      <c r="I556" s="52"/>
      <c r="J556" s="19"/>
      <c r="K556" s="30"/>
      <c r="L556" s="201"/>
    </row>
    <row r="557" spans="1:12" ht="24" x14ac:dyDescent="0.2">
      <c r="A557" s="24" t="s">
        <v>452</v>
      </c>
      <c r="B557" s="104"/>
      <c r="C557" s="103"/>
      <c r="D557" s="194"/>
      <c r="E557" s="14"/>
      <c r="F557" s="14"/>
      <c r="G557" s="14"/>
      <c r="H557" s="58"/>
      <c r="I557" s="52"/>
      <c r="J557" s="19"/>
      <c r="K557" s="30"/>
      <c r="L557" s="201"/>
    </row>
    <row r="558" spans="1:12" ht="12.75" outlineLevel="1" x14ac:dyDescent="0.2">
      <c r="A558" s="48" t="s">
        <v>1292</v>
      </c>
      <c r="B558" s="112">
        <v>43281</v>
      </c>
      <c r="C558" s="107">
        <v>43465</v>
      </c>
      <c r="D558" s="108">
        <v>97</v>
      </c>
      <c r="E558" s="173">
        <v>16095.05</v>
      </c>
      <c r="F558" s="173"/>
      <c r="G558" s="164"/>
      <c r="H558" s="37">
        <f>E558+F558</f>
        <v>16095.05</v>
      </c>
      <c r="I558" s="37">
        <v>16095.05</v>
      </c>
      <c r="J558" s="42"/>
      <c r="K558" s="42"/>
      <c r="L558" s="201"/>
    </row>
    <row r="559" spans="1:12" ht="12.75" outlineLevel="1" x14ac:dyDescent="0.2">
      <c r="A559" s="60" t="s">
        <v>453</v>
      </c>
      <c r="B559" s="112">
        <v>43190</v>
      </c>
      <c r="C559" s="107">
        <v>43465</v>
      </c>
      <c r="D559" s="108">
        <v>30</v>
      </c>
      <c r="E559" s="173"/>
      <c r="F559" s="173">
        <v>9175</v>
      </c>
      <c r="G559" s="164"/>
      <c r="H559" s="37">
        <f t="shared" ref="H559:H592" si="49">E559+F559</f>
        <v>9175</v>
      </c>
      <c r="I559" s="37">
        <v>9175</v>
      </c>
      <c r="J559" s="42"/>
      <c r="K559" s="42"/>
      <c r="L559" s="201"/>
    </row>
    <row r="560" spans="1:12" ht="12.75" outlineLevel="1" x14ac:dyDescent="0.2">
      <c r="A560" s="60" t="s">
        <v>1293</v>
      </c>
      <c r="B560" s="112">
        <v>43259</v>
      </c>
      <c r="C560" s="107">
        <v>43465</v>
      </c>
      <c r="D560" s="108">
        <v>10</v>
      </c>
      <c r="E560" s="173">
        <v>6395</v>
      </c>
      <c r="F560" s="173"/>
      <c r="G560" s="164"/>
      <c r="H560" s="37">
        <f t="shared" si="49"/>
        <v>6395</v>
      </c>
      <c r="I560" s="37">
        <v>6395</v>
      </c>
      <c r="J560" s="42"/>
      <c r="K560" s="42"/>
      <c r="L560" s="201"/>
    </row>
    <row r="561" spans="1:12" ht="24" outlineLevel="1" x14ac:dyDescent="0.2">
      <c r="A561" s="141" t="s">
        <v>454</v>
      </c>
      <c r="B561" s="112">
        <v>43190</v>
      </c>
      <c r="C561" s="107">
        <v>43465</v>
      </c>
      <c r="D561" s="108">
        <v>50</v>
      </c>
      <c r="E561" s="122">
        <v>147481.32999999999</v>
      </c>
      <c r="F561" s="173">
        <v>9175</v>
      </c>
      <c r="G561" s="164"/>
      <c r="H561" s="37">
        <f t="shared" si="49"/>
        <v>156656.32999999999</v>
      </c>
      <c r="I561" s="37">
        <v>156656.32999999999</v>
      </c>
      <c r="J561" s="42"/>
      <c r="K561" s="42"/>
      <c r="L561" s="201"/>
    </row>
    <row r="562" spans="1:12" ht="26.25" customHeight="1" outlineLevel="1" x14ac:dyDescent="0.2">
      <c r="A562" s="142" t="s">
        <v>359</v>
      </c>
      <c r="B562" s="112">
        <v>43190</v>
      </c>
      <c r="C562" s="107">
        <v>43465</v>
      </c>
      <c r="D562" s="108">
        <v>50</v>
      </c>
      <c r="E562" s="122">
        <v>13247</v>
      </c>
      <c r="F562" s="122">
        <v>68169.78</v>
      </c>
      <c r="G562" s="164"/>
      <c r="H562" s="37">
        <f t="shared" si="49"/>
        <v>81416.78</v>
      </c>
      <c r="I562" s="37">
        <v>81416.78</v>
      </c>
      <c r="J562" s="42"/>
      <c r="K562" s="42"/>
      <c r="L562" s="201"/>
    </row>
    <row r="563" spans="1:12" ht="23.25" customHeight="1" outlineLevel="1" x14ac:dyDescent="0.2">
      <c r="A563" s="60" t="s">
        <v>455</v>
      </c>
      <c r="B563" s="112">
        <v>43190</v>
      </c>
      <c r="C563" s="107">
        <v>43465</v>
      </c>
      <c r="D563" s="108">
        <v>40</v>
      </c>
      <c r="E563" s="122">
        <v>39443.69</v>
      </c>
      <c r="F563" s="173"/>
      <c r="G563" s="164"/>
      <c r="H563" s="37">
        <f t="shared" si="49"/>
        <v>39443.69</v>
      </c>
      <c r="I563" s="37">
        <v>39443.69</v>
      </c>
      <c r="J563" s="42"/>
      <c r="K563" s="42"/>
      <c r="L563" s="201"/>
    </row>
    <row r="564" spans="1:12" ht="12.75" outlineLevel="1" x14ac:dyDescent="0.2">
      <c r="A564" s="60" t="s">
        <v>1294</v>
      </c>
      <c r="B564" s="112">
        <v>43281</v>
      </c>
      <c r="C564" s="107">
        <v>43465</v>
      </c>
      <c r="D564" s="108">
        <v>20</v>
      </c>
      <c r="E564" s="122">
        <v>14234.27</v>
      </c>
      <c r="F564" s="173"/>
      <c r="G564" s="164"/>
      <c r="H564" s="37">
        <f t="shared" si="49"/>
        <v>14234.27</v>
      </c>
      <c r="I564" s="37">
        <v>14234.27</v>
      </c>
      <c r="J564" s="42"/>
      <c r="K564" s="42"/>
      <c r="L564" s="201"/>
    </row>
    <row r="565" spans="1:12" ht="12.75" outlineLevel="1" x14ac:dyDescent="0.2">
      <c r="A565" s="60" t="s">
        <v>456</v>
      </c>
      <c r="B565" s="112">
        <v>43190</v>
      </c>
      <c r="C565" s="107">
        <v>43465</v>
      </c>
      <c r="D565" s="108">
        <v>20</v>
      </c>
      <c r="E565" s="122">
        <v>13056.26</v>
      </c>
      <c r="F565" s="173"/>
      <c r="G565" s="164"/>
      <c r="H565" s="37">
        <f t="shared" si="49"/>
        <v>13056.26</v>
      </c>
      <c r="I565" s="37">
        <v>13056.26</v>
      </c>
      <c r="J565" s="42"/>
      <c r="K565" s="42"/>
      <c r="L565" s="201"/>
    </row>
    <row r="566" spans="1:12" ht="12.75" outlineLevel="1" x14ac:dyDescent="0.2">
      <c r="A566" s="143" t="s">
        <v>1295</v>
      </c>
      <c r="B566" s="118">
        <v>43259</v>
      </c>
      <c r="C566" s="107">
        <v>43465</v>
      </c>
      <c r="D566" s="119">
        <v>50</v>
      </c>
      <c r="E566" s="173">
        <v>6395</v>
      </c>
      <c r="F566" s="174"/>
      <c r="G566" s="174"/>
      <c r="H566" s="37">
        <f t="shared" si="49"/>
        <v>6395</v>
      </c>
      <c r="I566" s="37">
        <v>6395</v>
      </c>
      <c r="J566" s="42"/>
      <c r="K566" s="42"/>
      <c r="L566" s="201"/>
    </row>
    <row r="567" spans="1:12" ht="30" customHeight="1" outlineLevel="1" x14ac:dyDescent="0.2">
      <c r="A567" s="143" t="s">
        <v>457</v>
      </c>
      <c r="B567" s="118">
        <v>43190</v>
      </c>
      <c r="C567" s="107">
        <v>43465</v>
      </c>
      <c r="D567" s="119">
        <v>60</v>
      </c>
      <c r="E567" s="174">
        <v>17159.95</v>
      </c>
      <c r="F567" s="174"/>
      <c r="G567" s="174"/>
      <c r="H567" s="37">
        <f t="shared" si="49"/>
        <v>17159.95</v>
      </c>
      <c r="I567" s="37">
        <v>17159.95</v>
      </c>
      <c r="J567" s="42"/>
      <c r="K567" s="42"/>
      <c r="L567" s="201"/>
    </row>
    <row r="568" spans="1:12" ht="27.75" customHeight="1" outlineLevel="1" x14ac:dyDescent="0.2">
      <c r="A568" s="144" t="s">
        <v>1296</v>
      </c>
      <c r="B568" s="118">
        <v>43220</v>
      </c>
      <c r="C568" s="107">
        <v>43465</v>
      </c>
      <c r="D568" s="119">
        <v>20</v>
      </c>
      <c r="E568" s="174"/>
      <c r="F568" s="174">
        <v>90000</v>
      </c>
      <c r="G568" s="174"/>
      <c r="H568" s="37">
        <f t="shared" si="49"/>
        <v>90000</v>
      </c>
      <c r="I568" s="37">
        <v>90000</v>
      </c>
      <c r="J568" s="42"/>
      <c r="K568" s="42"/>
      <c r="L568" s="201"/>
    </row>
    <row r="569" spans="1:12" ht="27.75" customHeight="1" outlineLevel="1" x14ac:dyDescent="0.2">
      <c r="A569" s="145" t="s">
        <v>360</v>
      </c>
      <c r="B569" s="118">
        <v>43190</v>
      </c>
      <c r="C569" s="107">
        <v>43465</v>
      </c>
      <c r="D569" s="119">
        <v>60</v>
      </c>
      <c r="E569" s="122">
        <v>1835159.59</v>
      </c>
      <c r="F569" s="122">
        <v>291335.12</v>
      </c>
      <c r="G569" s="174"/>
      <c r="H569" s="37">
        <f t="shared" si="49"/>
        <v>2126494.71</v>
      </c>
      <c r="I569" s="37">
        <v>2126494.71</v>
      </c>
      <c r="J569" s="42"/>
      <c r="K569" s="42"/>
      <c r="L569" s="201"/>
    </row>
    <row r="570" spans="1:12" ht="27.75" customHeight="1" outlineLevel="1" x14ac:dyDescent="0.2">
      <c r="A570" s="143" t="s">
        <v>361</v>
      </c>
      <c r="B570" s="118">
        <v>43190</v>
      </c>
      <c r="C570" s="107">
        <v>43465</v>
      </c>
      <c r="D570" s="119">
        <v>60</v>
      </c>
      <c r="E570" s="122">
        <v>86331.47</v>
      </c>
      <c r="F570" s="174"/>
      <c r="G570" s="174"/>
      <c r="H570" s="37">
        <f t="shared" si="49"/>
        <v>86331.47</v>
      </c>
      <c r="I570" s="37">
        <v>86331.47</v>
      </c>
      <c r="J570" s="42"/>
      <c r="K570" s="42"/>
      <c r="L570" s="201"/>
    </row>
    <row r="571" spans="1:12" ht="27.75" customHeight="1" outlineLevel="1" x14ac:dyDescent="0.2">
      <c r="A571" s="143" t="s">
        <v>362</v>
      </c>
      <c r="B571" s="118">
        <v>43190</v>
      </c>
      <c r="C571" s="107">
        <v>43465</v>
      </c>
      <c r="D571" s="119">
        <v>60</v>
      </c>
      <c r="E571" s="174">
        <v>2778.93</v>
      </c>
      <c r="F571" s="174"/>
      <c r="G571" s="174"/>
      <c r="H571" s="37">
        <f t="shared" si="49"/>
        <v>2778.93</v>
      </c>
      <c r="I571" s="37">
        <v>2778.93</v>
      </c>
      <c r="J571" s="42"/>
      <c r="K571" s="42"/>
      <c r="L571" s="201"/>
    </row>
    <row r="572" spans="1:12" ht="27.75" customHeight="1" outlineLevel="1" x14ac:dyDescent="0.2">
      <c r="A572" s="144" t="s">
        <v>363</v>
      </c>
      <c r="B572" s="118">
        <v>43190</v>
      </c>
      <c r="C572" s="107">
        <v>43465</v>
      </c>
      <c r="D572" s="119">
        <v>60</v>
      </c>
      <c r="E572" s="174">
        <v>6525</v>
      </c>
      <c r="F572" s="174"/>
      <c r="G572" s="174"/>
      <c r="H572" s="37">
        <f t="shared" si="49"/>
        <v>6525</v>
      </c>
      <c r="I572" s="37">
        <v>6525</v>
      </c>
      <c r="J572" s="42"/>
      <c r="K572" s="42"/>
      <c r="L572" s="201"/>
    </row>
    <row r="573" spans="1:12" ht="27.75" customHeight="1" outlineLevel="1" x14ac:dyDescent="0.2">
      <c r="A573" s="144" t="s">
        <v>1297</v>
      </c>
      <c r="B573" s="118">
        <v>43251</v>
      </c>
      <c r="C573" s="107">
        <v>43465</v>
      </c>
      <c r="D573" s="119">
        <v>60</v>
      </c>
      <c r="E573" s="122">
        <v>20806.88</v>
      </c>
      <c r="F573" s="122">
        <v>9649.5300000000007</v>
      </c>
      <c r="G573" s="174"/>
      <c r="H573" s="37">
        <f t="shared" si="49"/>
        <v>30456.410000000003</v>
      </c>
      <c r="I573" s="37">
        <v>30456.41</v>
      </c>
      <c r="J573" s="42"/>
      <c r="K573" s="42"/>
      <c r="L573" s="201"/>
    </row>
    <row r="574" spans="1:12" ht="27.75" customHeight="1" outlineLevel="1" x14ac:dyDescent="0.2">
      <c r="A574" s="144" t="s">
        <v>1298</v>
      </c>
      <c r="B574" s="118">
        <v>43259</v>
      </c>
      <c r="C574" s="107">
        <v>43465</v>
      </c>
      <c r="D574" s="119">
        <v>60</v>
      </c>
      <c r="E574" s="122">
        <v>15610</v>
      </c>
      <c r="F574" s="174"/>
      <c r="G574" s="174"/>
      <c r="H574" s="37">
        <f t="shared" si="49"/>
        <v>15610</v>
      </c>
      <c r="I574" s="37">
        <v>15610</v>
      </c>
      <c r="J574" s="42"/>
      <c r="K574" s="42"/>
      <c r="L574" s="201"/>
    </row>
    <row r="575" spans="1:12" ht="27.75" customHeight="1" outlineLevel="1" x14ac:dyDescent="0.2">
      <c r="A575" s="144" t="s">
        <v>364</v>
      </c>
      <c r="B575" s="118">
        <v>43190</v>
      </c>
      <c r="C575" s="107">
        <v>43465</v>
      </c>
      <c r="D575" s="119">
        <v>60</v>
      </c>
      <c r="E575" s="122">
        <v>201689.89</v>
      </c>
      <c r="F575" s="122">
        <v>2216.66</v>
      </c>
      <c r="G575" s="174"/>
      <c r="H575" s="37">
        <f t="shared" si="49"/>
        <v>203906.55000000002</v>
      </c>
      <c r="I575" s="37">
        <v>203906.55</v>
      </c>
      <c r="J575" s="42"/>
      <c r="K575" s="42"/>
      <c r="L575" s="201"/>
    </row>
    <row r="576" spans="1:12" ht="27.75" customHeight="1" outlineLevel="1" x14ac:dyDescent="0.2">
      <c r="A576" s="144" t="s">
        <v>1299</v>
      </c>
      <c r="B576" s="118">
        <v>43259</v>
      </c>
      <c r="C576" s="107">
        <v>43465</v>
      </c>
      <c r="D576" s="119">
        <v>60</v>
      </c>
      <c r="E576" s="122">
        <v>11277</v>
      </c>
      <c r="F576" s="174"/>
      <c r="G576" s="174"/>
      <c r="H576" s="37">
        <f t="shared" si="49"/>
        <v>11277</v>
      </c>
      <c r="I576" s="37">
        <v>11277</v>
      </c>
      <c r="J576" s="42"/>
      <c r="K576" s="42"/>
      <c r="L576" s="201"/>
    </row>
    <row r="577" spans="1:12" ht="27.75" customHeight="1" outlineLevel="1" x14ac:dyDescent="0.2">
      <c r="A577" s="143" t="s">
        <v>365</v>
      </c>
      <c r="B577" s="118">
        <v>43190</v>
      </c>
      <c r="C577" s="107">
        <v>43465</v>
      </c>
      <c r="D577" s="119">
        <v>60</v>
      </c>
      <c r="E577" s="122">
        <v>23529.48</v>
      </c>
      <c r="F577" s="174"/>
      <c r="G577" s="174"/>
      <c r="H577" s="37">
        <f t="shared" si="49"/>
        <v>23529.48</v>
      </c>
      <c r="I577" s="37">
        <v>23529.48</v>
      </c>
      <c r="J577" s="42"/>
      <c r="K577" s="42"/>
      <c r="L577" s="201"/>
    </row>
    <row r="578" spans="1:12" ht="27.75" customHeight="1" outlineLevel="1" x14ac:dyDescent="0.2">
      <c r="A578" s="144" t="s">
        <v>366</v>
      </c>
      <c r="B578" s="118">
        <v>43190</v>
      </c>
      <c r="C578" s="107">
        <v>43465</v>
      </c>
      <c r="D578" s="119">
        <v>60</v>
      </c>
      <c r="E578" s="122">
        <v>12986</v>
      </c>
      <c r="F578" s="174"/>
      <c r="G578" s="174"/>
      <c r="H578" s="37">
        <f t="shared" si="49"/>
        <v>12986</v>
      </c>
      <c r="I578" s="37">
        <v>12986</v>
      </c>
      <c r="J578" s="42"/>
      <c r="K578" s="42"/>
      <c r="L578" s="201"/>
    </row>
    <row r="579" spans="1:12" ht="39" customHeight="1" outlineLevel="1" x14ac:dyDescent="0.2">
      <c r="A579" s="144" t="s">
        <v>367</v>
      </c>
      <c r="B579" s="118">
        <v>43190</v>
      </c>
      <c r="C579" s="107">
        <v>43465</v>
      </c>
      <c r="D579" s="119">
        <v>60</v>
      </c>
      <c r="E579" s="122">
        <v>60548.21</v>
      </c>
      <c r="F579" s="174"/>
      <c r="G579" s="174"/>
      <c r="H579" s="37">
        <f t="shared" si="49"/>
        <v>60548.21</v>
      </c>
      <c r="I579" s="37">
        <v>60548.21</v>
      </c>
      <c r="J579" s="42"/>
      <c r="K579" s="42"/>
      <c r="L579" s="201"/>
    </row>
    <row r="580" spans="1:12" ht="39.75" customHeight="1" outlineLevel="1" x14ac:dyDescent="0.2">
      <c r="A580" s="144" t="s">
        <v>1300</v>
      </c>
      <c r="B580" s="118">
        <v>43259</v>
      </c>
      <c r="C580" s="107">
        <v>43465</v>
      </c>
      <c r="D580" s="119">
        <v>60</v>
      </c>
      <c r="E580" s="122">
        <v>6395</v>
      </c>
      <c r="F580" s="174"/>
      <c r="G580" s="174"/>
      <c r="H580" s="37">
        <f t="shared" si="49"/>
        <v>6395</v>
      </c>
      <c r="I580" s="37">
        <v>6395</v>
      </c>
      <c r="J580" s="42"/>
      <c r="K580" s="42"/>
      <c r="L580" s="201"/>
    </row>
    <row r="581" spans="1:12" ht="27.75" customHeight="1" outlineLevel="1" x14ac:dyDescent="0.2">
      <c r="A581" s="143" t="s">
        <v>368</v>
      </c>
      <c r="B581" s="118">
        <v>43190</v>
      </c>
      <c r="C581" s="107">
        <v>43465</v>
      </c>
      <c r="D581" s="119">
        <v>60</v>
      </c>
      <c r="E581" s="122">
        <v>11534.01</v>
      </c>
      <c r="F581" s="174"/>
      <c r="G581" s="174"/>
      <c r="H581" s="37">
        <f t="shared" si="49"/>
        <v>11534.01</v>
      </c>
      <c r="I581" s="37">
        <v>11534.01</v>
      </c>
      <c r="J581" s="42"/>
      <c r="K581" s="42"/>
      <c r="L581" s="201"/>
    </row>
    <row r="582" spans="1:12" ht="27.75" customHeight="1" outlineLevel="1" x14ac:dyDescent="0.2">
      <c r="A582" s="144" t="s">
        <v>369</v>
      </c>
      <c r="B582" s="118">
        <v>43190</v>
      </c>
      <c r="C582" s="107">
        <v>43465</v>
      </c>
      <c r="D582" s="119">
        <v>60</v>
      </c>
      <c r="E582" s="122">
        <v>20391.88</v>
      </c>
      <c r="F582" s="174"/>
      <c r="G582" s="174"/>
      <c r="H582" s="37">
        <f t="shared" si="49"/>
        <v>20391.88</v>
      </c>
      <c r="I582" s="37">
        <v>20391.88</v>
      </c>
      <c r="J582" s="42"/>
      <c r="K582" s="42"/>
      <c r="L582" s="201"/>
    </row>
    <row r="583" spans="1:12" ht="27.75" customHeight="1" outlineLevel="1" x14ac:dyDescent="0.2">
      <c r="A583" s="144" t="s">
        <v>370</v>
      </c>
      <c r="B583" s="118">
        <v>43190</v>
      </c>
      <c r="C583" s="107">
        <v>43465</v>
      </c>
      <c r="D583" s="119">
        <v>60</v>
      </c>
      <c r="E583" s="122">
        <v>25509.22</v>
      </c>
      <c r="F583" s="174"/>
      <c r="G583" s="174"/>
      <c r="H583" s="37">
        <f t="shared" si="49"/>
        <v>25509.22</v>
      </c>
      <c r="I583" s="37">
        <v>25509.22</v>
      </c>
      <c r="J583" s="42"/>
      <c r="K583" s="42"/>
      <c r="L583" s="201"/>
    </row>
    <row r="584" spans="1:12" ht="27.75" customHeight="1" outlineLevel="1" x14ac:dyDescent="0.2">
      <c r="A584" s="143" t="s">
        <v>458</v>
      </c>
      <c r="B584" s="118">
        <v>43190</v>
      </c>
      <c r="C584" s="107">
        <v>43465</v>
      </c>
      <c r="D584" s="119">
        <v>60</v>
      </c>
      <c r="E584" s="122">
        <v>141727.28</v>
      </c>
      <c r="F584" s="122">
        <v>20494</v>
      </c>
      <c r="G584" s="174"/>
      <c r="H584" s="37">
        <f t="shared" si="49"/>
        <v>162221.28</v>
      </c>
      <c r="I584" s="37">
        <v>162221.28</v>
      </c>
      <c r="J584" s="42"/>
      <c r="K584" s="42"/>
      <c r="L584" s="201"/>
    </row>
    <row r="585" spans="1:12" ht="27.75" customHeight="1" outlineLevel="1" x14ac:dyDescent="0.2">
      <c r="A585" s="143" t="s">
        <v>371</v>
      </c>
      <c r="B585" s="118">
        <v>43190</v>
      </c>
      <c r="C585" s="107">
        <v>43465</v>
      </c>
      <c r="D585" s="119">
        <v>60</v>
      </c>
      <c r="E585" s="122">
        <v>205775.72</v>
      </c>
      <c r="F585" s="174"/>
      <c r="G585" s="174"/>
      <c r="H585" s="37">
        <f t="shared" si="49"/>
        <v>205775.72</v>
      </c>
      <c r="I585" s="37">
        <v>205775.72</v>
      </c>
      <c r="J585" s="42"/>
      <c r="K585" s="42"/>
      <c r="L585" s="201"/>
    </row>
    <row r="586" spans="1:12" ht="31.5" customHeight="1" outlineLevel="1" x14ac:dyDescent="0.2">
      <c r="A586" s="143" t="s">
        <v>459</v>
      </c>
      <c r="B586" s="118">
        <v>43190</v>
      </c>
      <c r="C586" s="107">
        <v>43465</v>
      </c>
      <c r="D586" s="119">
        <v>60</v>
      </c>
      <c r="E586" s="122">
        <v>11233</v>
      </c>
      <c r="F586" s="174"/>
      <c r="G586" s="174"/>
      <c r="H586" s="37">
        <f t="shared" si="49"/>
        <v>11233</v>
      </c>
      <c r="I586" s="37">
        <v>11233</v>
      </c>
      <c r="J586" s="42"/>
      <c r="K586" s="42"/>
      <c r="L586" s="201"/>
    </row>
    <row r="587" spans="1:12" ht="24" outlineLevel="1" x14ac:dyDescent="0.2">
      <c r="A587" s="144" t="s">
        <v>460</v>
      </c>
      <c r="B587" s="118">
        <v>43190</v>
      </c>
      <c r="C587" s="107">
        <v>43465</v>
      </c>
      <c r="D587" s="119">
        <v>60</v>
      </c>
      <c r="E587" s="122">
        <v>143289.74</v>
      </c>
      <c r="F587" s="122">
        <v>161016.95000000001</v>
      </c>
      <c r="G587" s="174"/>
      <c r="H587" s="37">
        <f t="shared" si="49"/>
        <v>304306.69</v>
      </c>
      <c r="I587" s="37">
        <v>304306.69</v>
      </c>
      <c r="J587" s="42"/>
      <c r="K587" s="42"/>
      <c r="L587" s="201"/>
    </row>
    <row r="588" spans="1:12" ht="36.75" customHeight="1" outlineLevel="1" x14ac:dyDescent="0.2">
      <c r="A588" s="144" t="s">
        <v>461</v>
      </c>
      <c r="B588" s="118">
        <v>43190</v>
      </c>
      <c r="C588" s="107">
        <v>43465</v>
      </c>
      <c r="D588" s="119">
        <v>60</v>
      </c>
      <c r="E588" s="122">
        <v>940408.38</v>
      </c>
      <c r="F588" s="174"/>
      <c r="G588" s="174"/>
      <c r="H588" s="37">
        <f t="shared" si="49"/>
        <v>940408.38</v>
      </c>
      <c r="I588" s="37">
        <v>940408.38</v>
      </c>
      <c r="J588" s="42"/>
      <c r="K588" s="42"/>
      <c r="L588" s="201"/>
    </row>
    <row r="589" spans="1:12" ht="24" outlineLevel="1" x14ac:dyDescent="0.2">
      <c r="A589" s="144" t="s">
        <v>462</v>
      </c>
      <c r="B589" s="118">
        <v>43190</v>
      </c>
      <c r="C589" s="107">
        <v>43465</v>
      </c>
      <c r="D589" s="119">
        <v>60</v>
      </c>
      <c r="E589" s="122">
        <v>5200.59</v>
      </c>
      <c r="F589" s="174"/>
      <c r="G589" s="174"/>
      <c r="H589" s="37">
        <f t="shared" si="49"/>
        <v>5200.59</v>
      </c>
      <c r="I589" s="37">
        <v>5200.59</v>
      </c>
      <c r="J589" s="42"/>
      <c r="K589" s="42"/>
      <c r="L589" s="201"/>
    </row>
    <row r="590" spans="1:12" ht="24" outlineLevel="1" x14ac:dyDescent="0.2">
      <c r="A590" s="144" t="s">
        <v>372</v>
      </c>
      <c r="B590" s="118">
        <v>43190</v>
      </c>
      <c r="C590" s="107">
        <v>43465</v>
      </c>
      <c r="D590" s="119">
        <v>60</v>
      </c>
      <c r="E590" s="122">
        <v>7993.99</v>
      </c>
      <c r="F590" s="174"/>
      <c r="G590" s="174"/>
      <c r="H590" s="37">
        <f t="shared" si="49"/>
        <v>7993.99</v>
      </c>
      <c r="I590" s="37">
        <v>7993.99</v>
      </c>
      <c r="J590" s="42"/>
      <c r="K590" s="42"/>
      <c r="L590" s="201"/>
    </row>
    <row r="591" spans="1:12" ht="24" outlineLevel="1" x14ac:dyDescent="0.2">
      <c r="A591" s="144" t="s">
        <v>373</v>
      </c>
      <c r="B591" s="118">
        <v>43190</v>
      </c>
      <c r="C591" s="107">
        <v>43465</v>
      </c>
      <c r="D591" s="119">
        <v>60</v>
      </c>
      <c r="E591" s="122">
        <v>16045.4</v>
      </c>
      <c r="F591" s="174"/>
      <c r="G591" s="174"/>
      <c r="H591" s="37">
        <f t="shared" si="49"/>
        <v>16045.4</v>
      </c>
      <c r="I591" s="37">
        <v>16045.4</v>
      </c>
      <c r="J591" s="42"/>
      <c r="K591" s="42"/>
      <c r="L591" s="201"/>
    </row>
    <row r="592" spans="1:12" ht="12.75" outlineLevel="1" x14ac:dyDescent="0.2">
      <c r="A592" s="143" t="s">
        <v>1301</v>
      </c>
      <c r="B592" s="118">
        <v>43281</v>
      </c>
      <c r="C592" s="107">
        <v>43465</v>
      </c>
      <c r="D592" s="119">
        <v>60</v>
      </c>
      <c r="E592" s="122">
        <v>38683.01</v>
      </c>
      <c r="F592" s="174"/>
      <c r="G592" s="174"/>
      <c r="H592" s="37">
        <f t="shared" si="49"/>
        <v>38683.01</v>
      </c>
      <c r="I592" s="37">
        <v>38683.01</v>
      </c>
      <c r="J592" s="42"/>
      <c r="K592" s="42"/>
      <c r="L592" s="201"/>
    </row>
    <row r="593" spans="1:12" x14ac:dyDescent="0.2">
      <c r="A593" s="127"/>
      <c r="B593" s="120"/>
      <c r="C593" s="120"/>
      <c r="D593" s="131"/>
      <c r="E593" s="128">
        <f>SUM(E556:E592)</f>
        <v>4124937.22</v>
      </c>
      <c r="F593" s="128">
        <f>SUM(F556:F592)</f>
        <v>661232.04</v>
      </c>
      <c r="G593" s="128">
        <f>SUM(G556:G592)</f>
        <v>0</v>
      </c>
      <c r="H593" s="128">
        <f>SUM(H556:H592)</f>
        <v>4786169.2600000007</v>
      </c>
      <c r="I593" s="128">
        <f>SUM(I556:I592)</f>
        <v>4786169.2600000007</v>
      </c>
      <c r="J593" s="81"/>
      <c r="K593" s="149"/>
      <c r="L593" s="201"/>
    </row>
    <row r="594" spans="1:12" x14ac:dyDescent="0.2">
      <c r="A594" s="59"/>
      <c r="B594" s="121"/>
      <c r="C594" s="120"/>
      <c r="D594" s="131"/>
      <c r="E594" s="124"/>
      <c r="F594" s="124"/>
      <c r="G594" s="124"/>
      <c r="H594" s="128"/>
      <c r="I594" s="126"/>
      <c r="J594" s="91"/>
      <c r="K594" s="30"/>
      <c r="L594" s="201"/>
    </row>
    <row r="595" spans="1:12" ht="24" x14ac:dyDescent="0.2">
      <c r="A595" s="44" t="s">
        <v>463</v>
      </c>
      <c r="B595" s="120"/>
      <c r="C595" s="121"/>
      <c r="D595" s="130"/>
      <c r="E595" s="123"/>
      <c r="F595" s="123"/>
      <c r="G595" s="124"/>
      <c r="H595" s="125"/>
      <c r="I595" s="126"/>
      <c r="J595" s="14"/>
      <c r="K595" s="43"/>
      <c r="L595" s="201"/>
    </row>
    <row r="596" spans="1:12" outlineLevel="1" x14ac:dyDescent="0.2">
      <c r="A596" s="45" t="s">
        <v>1080</v>
      </c>
      <c r="B596" s="129">
        <v>43160</v>
      </c>
      <c r="C596" s="114">
        <v>43404</v>
      </c>
      <c r="D596" s="130">
        <v>10</v>
      </c>
      <c r="E596" s="123"/>
      <c r="F596" s="123">
        <v>20570</v>
      </c>
      <c r="G596" s="124"/>
      <c r="H596" s="125">
        <f>E596+F596+G596</f>
        <v>20570</v>
      </c>
      <c r="I596" s="126">
        <f>H596</f>
        <v>20570</v>
      </c>
      <c r="J596" s="42"/>
      <c r="K596" s="42"/>
      <c r="L596" s="201"/>
    </row>
    <row r="597" spans="1:12" ht="24" outlineLevel="1" x14ac:dyDescent="0.2">
      <c r="A597" s="46" t="s">
        <v>1081</v>
      </c>
      <c r="B597" s="129">
        <v>43132</v>
      </c>
      <c r="C597" s="129">
        <v>43404</v>
      </c>
      <c r="D597" s="131">
        <v>10</v>
      </c>
      <c r="E597" s="124"/>
      <c r="F597" s="124">
        <v>8521</v>
      </c>
      <c r="G597" s="124"/>
      <c r="H597" s="125">
        <f t="shared" ref="H597:H602" si="50">E597+F597+G597</f>
        <v>8521</v>
      </c>
      <c r="I597" s="126">
        <f t="shared" ref="I597:I602" si="51">H597</f>
        <v>8521</v>
      </c>
      <c r="J597" s="42"/>
      <c r="K597" s="42"/>
      <c r="L597" s="201"/>
    </row>
    <row r="598" spans="1:12" outlineLevel="1" x14ac:dyDescent="0.2">
      <c r="A598" s="47" t="s">
        <v>1082</v>
      </c>
      <c r="B598" s="129">
        <v>43132</v>
      </c>
      <c r="C598" s="129">
        <v>43404</v>
      </c>
      <c r="D598" s="131">
        <v>10</v>
      </c>
      <c r="E598" s="124"/>
      <c r="F598" s="124">
        <v>8352</v>
      </c>
      <c r="G598" s="124"/>
      <c r="H598" s="125">
        <f t="shared" si="50"/>
        <v>8352</v>
      </c>
      <c r="I598" s="126">
        <f t="shared" si="51"/>
        <v>8352</v>
      </c>
      <c r="J598" s="42"/>
      <c r="K598" s="42"/>
      <c r="L598" s="201"/>
    </row>
    <row r="599" spans="1:12" outlineLevel="1" x14ac:dyDescent="0.2">
      <c r="A599" s="47" t="s">
        <v>1083</v>
      </c>
      <c r="B599" s="129">
        <v>43132</v>
      </c>
      <c r="C599" s="129">
        <v>43434</v>
      </c>
      <c r="D599" s="131">
        <v>10</v>
      </c>
      <c r="E599" s="124"/>
      <c r="F599" s="124">
        <v>10284</v>
      </c>
      <c r="G599" s="124"/>
      <c r="H599" s="125">
        <f t="shared" si="50"/>
        <v>10284</v>
      </c>
      <c r="I599" s="126">
        <f t="shared" si="51"/>
        <v>10284</v>
      </c>
      <c r="J599" s="42"/>
      <c r="K599" s="42"/>
      <c r="L599" s="201"/>
    </row>
    <row r="600" spans="1:12" ht="24" outlineLevel="1" x14ac:dyDescent="0.2">
      <c r="A600" s="46" t="s">
        <v>464</v>
      </c>
      <c r="B600" s="129">
        <v>43132</v>
      </c>
      <c r="C600" s="129">
        <v>43434</v>
      </c>
      <c r="D600" s="131">
        <v>10</v>
      </c>
      <c r="E600" s="124"/>
      <c r="F600" s="124">
        <v>40918</v>
      </c>
      <c r="G600" s="124"/>
      <c r="H600" s="125">
        <f t="shared" si="50"/>
        <v>40918</v>
      </c>
      <c r="I600" s="126">
        <f t="shared" si="51"/>
        <v>40918</v>
      </c>
      <c r="J600" s="42"/>
      <c r="K600" s="42"/>
      <c r="L600" s="201"/>
    </row>
    <row r="601" spans="1:12" outlineLevel="1" x14ac:dyDescent="0.2">
      <c r="A601" s="46" t="s">
        <v>1084</v>
      </c>
      <c r="B601" s="129">
        <v>43251</v>
      </c>
      <c r="C601" s="129">
        <v>43343</v>
      </c>
      <c r="D601" s="131">
        <v>10</v>
      </c>
      <c r="E601" s="124">
        <v>6000</v>
      </c>
      <c r="F601" s="124"/>
      <c r="G601" s="124"/>
      <c r="H601" s="125">
        <f t="shared" si="50"/>
        <v>6000</v>
      </c>
      <c r="I601" s="126">
        <f t="shared" si="51"/>
        <v>6000</v>
      </c>
      <c r="J601" s="42"/>
      <c r="K601" s="42"/>
      <c r="L601" s="201"/>
    </row>
    <row r="602" spans="1:12" x14ac:dyDescent="0.2">
      <c r="A602" s="127"/>
      <c r="B602" s="120"/>
      <c r="C602" s="120"/>
      <c r="D602" s="131"/>
      <c r="E602" s="128">
        <f>SUM(E594:E601)</f>
        <v>6000</v>
      </c>
      <c r="F602" s="128">
        <f>SUM(F594:F601)</f>
        <v>88645</v>
      </c>
      <c r="G602" s="128">
        <f>SUM(G594:G601)</f>
        <v>0</v>
      </c>
      <c r="H602" s="125">
        <f t="shared" si="50"/>
        <v>94645</v>
      </c>
      <c r="I602" s="126">
        <f t="shared" si="51"/>
        <v>94645</v>
      </c>
      <c r="J602" s="81"/>
      <c r="K602" s="149"/>
      <c r="L602" s="201"/>
    </row>
    <row r="603" spans="1:12" x14ac:dyDescent="0.2">
      <c r="A603" s="22"/>
      <c r="B603" s="104"/>
      <c r="C603" s="103"/>
      <c r="D603" s="194"/>
      <c r="E603" s="14"/>
      <c r="F603" s="14"/>
      <c r="G603" s="14"/>
      <c r="H603" s="58"/>
      <c r="I603" s="52"/>
      <c r="J603" s="91"/>
      <c r="K603" s="30"/>
      <c r="L603" s="201"/>
    </row>
    <row r="604" spans="1:12" ht="26.25" customHeight="1" x14ac:dyDescent="0.2">
      <c r="A604" s="44" t="s">
        <v>465</v>
      </c>
      <c r="B604" s="103"/>
      <c r="C604" s="104"/>
      <c r="D604" s="195"/>
      <c r="E604" s="71"/>
      <c r="F604" s="71"/>
      <c r="G604" s="14"/>
      <c r="H604" s="37"/>
      <c r="I604" s="52"/>
      <c r="J604" s="14"/>
      <c r="K604" s="43"/>
      <c r="L604" s="201"/>
    </row>
    <row r="605" spans="1:12" ht="24" outlineLevel="1" x14ac:dyDescent="0.2">
      <c r="A605" s="45" t="s">
        <v>1085</v>
      </c>
      <c r="B605" s="129">
        <v>43251</v>
      </c>
      <c r="C605" s="114">
        <v>43456</v>
      </c>
      <c r="D605" s="130">
        <v>17</v>
      </c>
      <c r="E605" s="123"/>
      <c r="F605" s="124">
        <v>5000</v>
      </c>
      <c r="G605" s="124"/>
      <c r="H605" s="125">
        <v>5000</v>
      </c>
      <c r="I605" s="126">
        <v>5000</v>
      </c>
      <c r="J605" s="132"/>
      <c r="K605" s="132"/>
      <c r="L605" s="201"/>
    </row>
    <row r="606" spans="1:12" ht="24" outlineLevel="1" x14ac:dyDescent="0.2">
      <c r="A606" s="45" t="s">
        <v>1086</v>
      </c>
      <c r="B606" s="129">
        <v>43189</v>
      </c>
      <c r="C606" s="114">
        <v>43461</v>
      </c>
      <c r="D606" s="130">
        <v>17</v>
      </c>
      <c r="E606" s="123"/>
      <c r="F606" s="124">
        <v>5000</v>
      </c>
      <c r="G606" s="124"/>
      <c r="H606" s="125">
        <v>5000</v>
      </c>
      <c r="I606" s="126">
        <v>5000</v>
      </c>
      <c r="J606" s="132"/>
      <c r="K606" s="132"/>
      <c r="L606" s="201"/>
    </row>
    <row r="607" spans="1:12" ht="24" outlineLevel="1" x14ac:dyDescent="0.2">
      <c r="A607" s="51" t="s">
        <v>1087</v>
      </c>
      <c r="B607" s="129">
        <v>43258</v>
      </c>
      <c r="C607" s="129">
        <v>43540</v>
      </c>
      <c r="D607" s="131">
        <v>24</v>
      </c>
      <c r="E607" s="124"/>
      <c r="F607" s="124">
        <v>7000</v>
      </c>
      <c r="G607" s="124"/>
      <c r="H607" s="128">
        <v>7000</v>
      </c>
      <c r="I607" s="128">
        <v>7000</v>
      </c>
      <c r="J607" s="132"/>
      <c r="K607" s="132"/>
      <c r="L607" s="201"/>
    </row>
    <row r="608" spans="1:12" ht="24" outlineLevel="1" x14ac:dyDescent="0.2">
      <c r="A608" s="51" t="s">
        <v>1088</v>
      </c>
      <c r="B608" s="129">
        <v>43258</v>
      </c>
      <c r="C608" s="129">
        <v>43490</v>
      </c>
      <c r="D608" s="131">
        <v>24</v>
      </c>
      <c r="E608" s="124"/>
      <c r="F608" s="124">
        <v>7000</v>
      </c>
      <c r="G608" s="124"/>
      <c r="H608" s="128">
        <v>7000</v>
      </c>
      <c r="I608" s="128">
        <v>7000</v>
      </c>
      <c r="J608" s="132"/>
      <c r="K608" s="132"/>
      <c r="L608" s="201"/>
    </row>
    <row r="609" spans="1:12" outlineLevel="1" x14ac:dyDescent="0.2">
      <c r="A609" s="51" t="s">
        <v>1089</v>
      </c>
      <c r="B609" s="129">
        <v>43189</v>
      </c>
      <c r="C609" s="129">
        <v>43510</v>
      </c>
      <c r="D609" s="131">
        <v>24</v>
      </c>
      <c r="E609" s="124"/>
      <c r="F609" s="124">
        <v>7170</v>
      </c>
      <c r="G609" s="124"/>
      <c r="H609" s="128">
        <v>7170</v>
      </c>
      <c r="I609" s="128">
        <v>7170</v>
      </c>
      <c r="J609" s="132"/>
      <c r="K609" s="132"/>
      <c r="L609" s="201"/>
    </row>
    <row r="610" spans="1:12" outlineLevel="1" x14ac:dyDescent="0.2">
      <c r="A610" s="51" t="s">
        <v>1090</v>
      </c>
      <c r="B610" s="129">
        <v>43217</v>
      </c>
      <c r="C610" s="129">
        <v>43515</v>
      </c>
      <c r="D610" s="131">
        <v>33</v>
      </c>
      <c r="E610" s="124"/>
      <c r="F610" s="124">
        <v>9723</v>
      </c>
      <c r="G610" s="124"/>
      <c r="H610" s="128">
        <v>9723</v>
      </c>
      <c r="I610" s="128">
        <v>9723</v>
      </c>
      <c r="J610" s="132"/>
      <c r="K610" s="132"/>
      <c r="L610" s="201"/>
    </row>
    <row r="611" spans="1:12" ht="31.5" customHeight="1" outlineLevel="1" x14ac:dyDescent="0.2">
      <c r="A611" s="51" t="s">
        <v>1091</v>
      </c>
      <c r="B611" s="129">
        <v>43189</v>
      </c>
      <c r="C611" s="129">
        <v>43475</v>
      </c>
      <c r="D611" s="131">
        <v>17</v>
      </c>
      <c r="E611" s="124"/>
      <c r="F611" s="124">
        <v>5000</v>
      </c>
      <c r="G611" s="124"/>
      <c r="H611" s="128">
        <v>5000</v>
      </c>
      <c r="I611" s="128">
        <v>5000</v>
      </c>
      <c r="J611" s="132"/>
      <c r="K611" s="132"/>
      <c r="L611" s="201"/>
    </row>
    <row r="612" spans="1:12" ht="41.25" customHeight="1" outlineLevel="1" x14ac:dyDescent="0.2">
      <c r="A612" s="51" t="s">
        <v>1092</v>
      </c>
      <c r="B612" s="129">
        <v>43251</v>
      </c>
      <c r="C612" s="129">
        <v>43517</v>
      </c>
      <c r="D612" s="131">
        <v>17</v>
      </c>
      <c r="E612" s="128"/>
      <c r="F612" s="124">
        <v>5000</v>
      </c>
      <c r="G612" s="128"/>
      <c r="H612" s="128">
        <v>5000</v>
      </c>
      <c r="I612" s="128">
        <v>5000</v>
      </c>
      <c r="J612" s="134"/>
      <c r="K612" s="134"/>
      <c r="L612" s="201"/>
    </row>
    <row r="613" spans="1:12" ht="24" outlineLevel="1" x14ac:dyDescent="0.2">
      <c r="A613" s="51" t="s">
        <v>1093</v>
      </c>
      <c r="B613" s="129">
        <v>43189</v>
      </c>
      <c r="C613" s="129">
        <v>43452</v>
      </c>
      <c r="D613" s="131">
        <v>34</v>
      </c>
      <c r="E613" s="128"/>
      <c r="F613" s="124">
        <v>10164</v>
      </c>
      <c r="G613" s="128"/>
      <c r="H613" s="128">
        <v>10164</v>
      </c>
      <c r="I613" s="128">
        <v>10164</v>
      </c>
      <c r="J613" s="134"/>
      <c r="K613" s="134"/>
      <c r="L613" s="201"/>
    </row>
    <row r="614" spans="1:12" ht="12.75" outlineLevel="1" x14ac:dyDescent="0.2">
      <c r="A614" s="50"/>
      <c r="B614" s="103"/>
      <c r="C614" s="103"/>
      <c r="D614" s="194"/>
      <c r="E614" s="14"/>
      <c r="F614" s="14"/>
      <c r="G614" s="14"/>
      <c r="H614" s="58"/>
      <c r="I614" s="58"/>
      <c r="J614" s="49"/>
      <c r="K614" s="49"/>
      <c r="L614" s="201"/>
    </row>
    <row r="615" spans="1:12" x14ac:dyDescent="0.2">
      <c r="A615" s="61"/>
      <c r="B615" s="103"/>
      <c r="C615" s="103"/>
      <c r="D615" s="194"/>
      <c r="E615" s="68">
        <f>SUM(E605:E614)</f>
        <v>0</v>
      </c>
      <c r="F615" s="68">
        <f>SUM(F603:F614)</f>
        <v>61057</v>
      </c>
      <c r="G615" s="68">
        <f>SUM(G603:G612)</f>
        <v>0</v>
      </c>
      <c r="H615" s="58">
        <f>SUM(H603:H614)</f>
        <v>61057</v>
      </c>
      <c r="I615" s="58">
        <f>SUM(I603:I614)</f>
        <v>61057</v>
      </c>
      <c r="J615" s="81"/>
      <c r="K615" s="149"/>
      <c r="L615" s="201"/>
    </row>
    <row r="616" spans="1:12" ht="24" x14ac:dyDescent="0.2">
      <c r="A616" s="44" t="s">
        <v>466</v>
      </c>
      <c r="B616" s="104"/>
      <c r="C616" s="103"/>
      <c r="D616" s="194"/>
      <c r="E616" s="14"/>
      <c r="F616" s="14"/>
      <c r="G616" s="14"/>
      <c r="H616" s="58"/>
      <c r="I616" s="52"/>
      <c r="J616" s="55"/>
      <c r="K616" s="55"/>
      <c r="L616" s="201"/>
    </row>
    <row r="617" spans="1:12" s="16" customFormat="1" outlineLevel="1" x14ac:dyDescent="0.2">
      <c r="A617" s="135" t="s">
        <v>448</v>
      </c>
      <c r="B617" s="180"/>
      <c r="C617" s="181">
        <v>43428</v>
      </c>
      <c r="D617" s="196">
        <v>40</v>
      </c>
      <c r="E617" s="175">
        <v>96821</v>
      </c>
      <c r="F617" s="175"/>
      <c r="G617" s="175"/>
      <c r="H617" s="176">
        <v>96821</v>
      </c>
      <c r="I617" s="63">
        <v>96821</v>
      </c>
      <c r="J617" s="19"/>
      <c r="K617" s="30"/>
      <c r="L617" s="75"/>
    </row>
    <row r="618" spans="1:12" outlineLevel="1" x14ac:dyDescent="0.2">
      <c r="A618" s="188" t="s">
        <v>449</v>
      </c>
      <c r="B618" s="107">
        <v>43132</v>
      </c>
      <c r="C618" s="112">
        <v>43418</v>
      </c>
      <c r="D618" s="113">
        <v>80</v>
      </c>
      <c r="E618" s="164">
        <v>3189.26</v>
      </c>
      <c r="F618" s="164">
        <v>30144.27</v>
      </c>
      <c r="G618" s="164"/>
      <c r="H618" s="58">
        <f>E618+F618+G618</f>
        <v>33333.53</v>
      </c>
      <c r="I618" s="52">
        <f>H618</f>
        <v>33333.53</v>
      </c>
      <c r="J618" s="19"/>
      <c r="K618" s="30"/>
      <c r="L618" s="201"/>
    </row>
    <row r="619" spans="1:12" ht="36" outlineLevel="1" x14ac:dyDescent="0.2">
      <c r="A619" s="135" t="s">
        <v>450</v>
      </c>
      <c r="B619" s="107">
        <v>42156</v>
      </c>
      <c r="C619" s="112">
        <v>42297</v>
      </c>
      <c r="D619" s="113">
        <v>70</v>
      </c>
      <c r="E619" s="164">
        <v>0</v>
      </c>
      <c r="F619" s="164">
        <v>63352</v>
      </c>
      <c r="G619" s="164"/>
      <c r="H619" s="58">
        <f t="shared" ref="H619:H656" si="52">F619+E619+G619</f>
        <v>63352</v>
      </c>
      <c r="I619" s="52">
        <f t="shared" ref="I619:I656" si="53">H619</f>
        <v>63352</v>
      </c>
      <c r="J619" s="19"/>
      <c r="K619" s="30"/>
      <c r="L619" s="201"/>
    </row>
    <row r="620" spans="1:12" ht="24" outlineLevel="1" x14ac:dyDescent="0.2">
      <c r="A620" s="135" t="s">
        <v>299</v>
      </c>
      <c r="B620" s="107">
        <v>42948</v>
      </c>
      <c r="C620" s="112">
        <v>43281</v>
      </c>
      <c r="D620" s="113">
        <v>80</v>
      </c>
      <c r="E620" s="164">
        <v>6250.63</v>
      </c>
      <c r="F620" s="164">
        <v>73622.78</v>
      </c>
      <c r="G620" s="164"/>
      <c r="H620" s="58">
        <f t="shared" si="52"/>
        <v>79873.41</v>
      </c>
      <c r="I620" s="52">
        <f t="shared" si="53"/>
        <v>79873.41</v>
      </c>
      <c r="J620" s="19"/>
      <c r="K620" s="30"/>
      <c r="L620" s="201"/>
    </row>
    <row r="621" spans="1:12" ht="24" outlineLevel="1" x14ac:dyDescent="0.2">
      <c r="A621" s="135" t="s">
        <v>300</v>
      </c>
      <c r="B621" s="107">
        <v>42948</v>
      </c>
      <c r="C621" s="112">
        <v>43465</v>
      </c>
      <c r="D621" s="113">
        <v>90</v>
      </c>
      <c r="E621" s="164">
        <v>6378.52</v>
      </c>
      <c r="F621" s="164">
        <v>77682.19</v>
      </c>
      <c r="G621" s="164"/>
      <c r="H621" s="58">
        <f t="shared" si="52"/>
        <v>84060.71</v>
      </c>
      <c r="I621" s="52">
        <f t="shared" si="53"/>
        <v>84060.71</v>
      </c>
      <c r="J621" s="19"/>
      <c r="K621" s="30"/>
      <c r="L621" s="201"/>
    </row>
    <row r="622" spans="1:12" ht="24" outlineLevel="1" x14ac:dyDescent="0.2">
      <c r="A622" s="135" t="s">
        <v>301</v>
      </c>
      <c r="B622" s="107">
        <v>42766</v>
      </c>
      <c r="C622" s="112">
        <v>43281</v>
      </c>
      <c r="D622" s="113">
        <v>90</v>
      </c>
      <c r="E622" s="164">
        <v>5990.73</v>
      </c>
      <c r="F622" s="164">
        <v>28075.48</v>
      </c>
      <c r="G622" s="164"/>
      <c r="H622" s="58">
        <f t="shared" si="52"/>
        <v>34066.21</v>
      </c>
      <c r="I622" s="52">
        <f t="shared" si="53"/>
        <v>34066.21</v>
      </c>
      <c r="J622" s="19"/>
      <c r="K622" s="30"/>
      <c r="L622" s="201"/>
    </row>
    <row r="623" spans="1:12" ht="24" outlineLevel="1" x14ac:dyDescent="0.2">
      <c r="A623" s="135" t="s">
        <v>302</v>
      </c>
      <c r="B623" s="107">
        <v>42826</v>
      </c>
      <c r="C623" s="112">
        <v>43464</v>
      </c>
      <c r="D623" s="113">
        <v>90</v>
      </c>
      <c r="E623" s="164">
        <v>5990.73</v>
      </c>
      <c r="F623" s="164">
        <v>64518.71</v>
      </c>
      <c r="G623" s="164"/>
      <c r="H623" s="58">
        <f t="shared" si="52"/>
        <v>70509.440000000002</v>
      </c>
      <c r="I623" s="52">
        <f t="shared" si="53"/>
        <v>70509.440000000002</v>
      </c>
      <c r="J623" s="19"/>
      <c r="K623" s="30"/>
      <c r="L623" s="201"/>
    </row>
    <row r="624" spans="1:12" outlineLevel="1" x14ac:dyDescent="0.2">
      <c r="A624" s="135" t="s">
        <v>303</v>
      </c>
      <c r="B624" s="107">
        <v>42948</v>
      </c>
      <c r="C624" s="112">
        <v>43404</v>
      </c>
      <c r="D624" s="113">
        <v>90</v>
      </c>
      <c r="E624" s="164">
        <v>3189.26</v>
      </c>
      <c r="F624" s="164">
        <v>78239.42</v>
      </c>
      <c r="G624" s="164"/>
      <c r="H624" s="58">
        <f t="shared" si="52"/>
        <v>81428.679999999993</v>
      </c>
      <c r="I624" s="52">
        <f t="shared" si="53"/>
        <v>81428.679999999993</v>
      </c>
      <c r="J624" s="19"/>
      <c r="K624" s="30"/>
      <c r="L624" s="201"/>
    </row>
    <row r="625" spans="1:12" ht="24" outlineLevel="1" x14ac:dyDescent="0.2">
      <c r="A625" s="135" t="s">
        <v>304</v>
      </c>
      <c r="B625" s="107">
        <v>43009</v>
      </c>
      <c r="C625" s="112">
        <v>43646</v>
      </c>
      <c r="D625" s="113">
        <v>80</v>
      </c>
      <c r="E625" s="164">
        <v>53717.55</v>
      </c>
      <c r="F625" s="164">
        <v>1198342.29</v>
      </c>
      <c r="G625" s="164"/>
      <c r="H625" s="58">
        <f t="shared" si="52"/>
        <v>1252059.8400000001</v>
      </c>
      <c r="I625" s="52">
        <f t="shared" si="53"/>
        <v>1252059.8400000001</v>
      </c>
      <c r="J625" s="19"/>
      <c r="K625" s="30"/>
      <c r="L625" s="201"/>
    </row>
    <row r="626" spans="1:12" ht="36" outlineLevel="1" x14ac:dyDescent="0.2">
      <c r="A626" s="135" t="s">
        <v>305</v>
      </c>
      <c r="B626" s="107">
        <v>43009</v>
      </c>
      <c r="C626" s="112">
        <v>43434</v>
      </c>
      <c r="D626" s="113">
        <v>90</v>
      </c>
      <c r="E626" s="164">
        <v>3189.26</v>
      </c>
      <c r="F626" s="164">
        <v>14601.36</v>
      </c>
      <c r="G626" s="164"/>
      <c r="H626" s="58">
        <f t="shared" si="52"/>
        <v>17790.620000000003</v>
      </c>
      <c r="I626" s="52">
        <f t="shared" si="53"/>
        <v>17790.620000000003</v>
      </c>
      <c r="J626" s="19"/>
      <c r="K626" s="30"/>
      <c r="L626" s="201"/>
    </row>
    <row r="627" spans="1:12" ht="36" outlineLevel="1" x14ac:dyDescent="0.2">
      <c r="A627" s="135" t="s">
        <v>451</v>
      </c>
      <c r="B627" s="107">
        <v>43132</v>
      </c>
      <c r="C627" s="112">
        <v>43281</v>
      </c>
      <c r="D627" s="113">
        <v>80</v>
      </c>
      <c r="E627" s="164">
        <v>3189.26</v>
      </c>
      <c r="F627" s="164">
        <v>32449.31</v>
      </c>
      <c r="G627" s="164"/>
      <c r="H627" s="58">
        <f t="shared" si="52"/>
        <v>35638.57</v>
      </c>
      <c r="I627" s="52">
        <f t="shared" si="53"/>
        <v>35638.57</v>
      </c>
      <c r="J627" s="19"/>
      <c r="K627" s="30"/>
      <c r="L627" s="201"/>
    </row>
    <row r="628" spans="1:12" ht="24" outlineLevel="1" x14ac:dyDescent="0.2">
      <c r="A628" s="135" t="s">
        <v>306</v>
      </c>
      <c r="B628" s="107">
        <v>43009</v>
      </c>
      <c r="C628" s="112">
        <v>43434</v>
      </c>
      <c r="D628" s="113">
        <v>80</v>
      </c>
      <c r="E628" s="164">
        <v>12757.04</v>
      </c>
      <c r="F628" s="164">
        <v>77502.34</v>
      </c>
      <c r="G628" s="164"/>
      <c r="H628" s="58">
        <f t="shared" si="52"/>
        <v>90259.38</v>
      </c>
      <c r="I628" s="52">
        <f t="shared" si="53"/>
        <v>90259.38</v>
      </c>
      <c r="J628" s="19"/>
      <c r="K628" s="30"/>
      <c r="L628" s="201"/>
    </row>
    <row r="629" spans="1:12" ht="24" outlineLevel="1" x14ac:dyDescent="0.2">
      <c r="A629" s="135" t="s">
        <v>307</v>
      </c>
      <c r="B629" s="107">
        <v>43040</v>
      </c>
      <c r="C629" s="112">
        <v>43646</v>
      </c>
      <c r="D629" s="113">
        <v>90</v>
      </c>
      <c r="E629" s="164">
        <v>6250.63</v>
      </c>
      <c r="F629" s="164">
        <v>41762.58</v>
      </c>
      <c r="G629" s="164"/>
      <c r="H629" s="58">
        <f t="shared" si="52"/>
        <v>48013.21</v>
      </c>
      <c r="I629" s="52">
        <f t="shared" si="53"/>
        <v>48013.21</v>
      </c>
      <c r="J629" s="19"/>
      <c r="K629" s="30"/>
      <c r="L629" s="201"/>
    </row>
    <row r="630" spans="1:12" ht="24" outlineLevel="1" x14ac:dyDescent="0.2">
      <c r="A630" s="135" t="s">
        <v>308</v>
      </c>
      <c r="B630" s="107">
        <v>43040</v>
      </c>
      <c r="C630" s="112">
        <v>43646</v>
      </c>
      <c r="D630" s="113">
        <v>80</v>
      </c>
      <c r="E630" s="164">
        <v>9439.89</v>
      </c>
      <c r="F630" s="164">
        <v>125404.39</v>
      </c>
      <c r="G630" s="164"/>
      <c r="H630" s="58">
        <f t="shared" si="52"/>
        <v>134844.28</v>
      </c>
      <c r="I630" s="52">
        <f t="shared" si="53"/>
        <v>134844.28</v>
      </c>
      <c r="J630" s="19"/>
      <c r="K630" s="30"/>
      <c r="L630" s="201"/>
    </row>
    <row r="631" spans="1:12" ht="24" outlineLevel="1" x14ac:dyDescent="0.2">
      <c r="A631" s="135" t="s">
        <v>309</v>
      </c>
      <c r="B631" s="107">
        <v>43009</v>
      </c>
      <c r="C631" s="112">
        <v>43281</v>
      </c>
      <c r="D631" s="113">
        <v>80</v>
      </c>
      <c r="E631" s="164">
        <v>4523.79</v>
      </c>
      <c r="F631" s="164">
        <v>52568.24</v>
      </c>
      <c r="G631" s="164"/>
      <c r="H631" s="58">
        <f t="shared" si="52"/>
        <v>57092.03</v>
      </c>
      <c r="I631" s="52">
        <f t="shared" si="53"/>
        <v>57092.03</v>
      </c>
      <c r="J631" s="19"/>
      <c r="K631" s="30"/>
      <c r="L631" s="201"/>
    </row>
    <row r="632" spans="1:12" outlineLevel="1" x14ac:dyDescent="0.2">
      <c r="A632" s="135" t="s">
        <v>1094</v>
      </c>
      <c r="B632" s="107">
        <v>43191</v>
      </c>
      <c r="C632" s="112">
        <v>43516</v>
      </c>
      <c r="D632" s="113">
        <v>60</v>
      </c>
      <c r="E632" s="164">
        <v>1334.43</v>
      </c>
      <c r="F632" s="164">
        <v>5462.31</v>
      </c>
      <c r="G632" s="164"/>
      <c r="H632" s="58">
        <f t="shared" si="52"/>
        <v>6796.7400000000007</v>
      </c>
      <c r="I632" s="52">
        <f t="shared" si="53"/>
        <v>6796.7400000000007</v>
      </c>
      <c r="J632" s="19"/>
      <c r="K632" s="30"/>
      <c r="L632" s="201"/>
    </row>
    <row r="633" spans="1:12" ht="24" outlineLevel="1" x14ac:dyDescent="0.2">
      <c r="A633" s="135" t="s">
        <v>1095</v>
      </c>
      <c r="B633" s="107">
        <v>43252</v>
      </c>
      <c r="C633" s="112">
        <v>43476</v>
      </c>
      <c r="D633" s="113">
        <v>70</v>
      </c>
      <c r="E633" s="164">
        <v>1334.53</v>
      </c>
      <c r="F633" s="164">
        <v>4650.9399999999996</v>
      </c>
      <c r="G633" s="164"/>
      <c r="H633" s="58">
        <f t="shared" si="52"/>
        <v>5985.4699999999993</v>
      </c>
      <c r="I633" s="52">
        <f t="shared" si="53"/>
        <v>5985.4699999999993</v>
      </c>
      <c r="J633" s="19"/>
      <c r="K633" s="30"/>
      <c r="L633" s="201"/>
    </row>
    <row r="634" spans="1:12" ht="24" outlineLevel="1" x14ac:dyDescent="0.2">
      <c r="A634" s="135" t="s">
        <v>1096</v>
      </c>
      <c r="B634" s="107">
        <v>43252</v>
      </c>
      <c r="C634" s="112">
        <v>43510</v>
      </c>
      <c r="D634" s="113">
        <v>70</v>
      </c>
      <c r="E634" s="164">
        <v>3061.37</v>
      </c>
      <c r="F634" s="164">
        <v>34927.22</v>
      </c>
      <c r="G634" s="164"/>
      <c r="H634" s="58">
        <f t="shared" si="52"/>
        <v>37988.590000000004</v>
      </c>
      <c r="I634" s="52">
        <f t="shared" si="53"/>
        <v>37988.590000000004</v>
      </c>
      <c r="J634" s="19"/>
      <c r="K634" s="30"/>
      <c r="L634" s="201"/>
    </row>
    <row r="635" spans="1:12" ht="24" outlineLevel="1" x14ac:dyDescent="0.2">
      <c r="A635" s="135" t="s">
        <v>1097</v>
      </c>
      <c r="B635" s="107">
        <v>43221</v>
      </c>
      <c r="C635" s="112">
        <v>43510</v>
      </c>
      <c r="D635" s="113">
        <v>70</v>
      </c>
      <c r="E635" s="164">
        <v>3061.37</v>
      </c>
      <c r="F635" s="164">
        <v>29461.85</v>
      </c>
      <c r="G635" s="164"/>
      <c r="H635" s="58">
        <f t="shared" si="52"/>
        <v>32523.219999999998</v>
      </c>
      <c r="I635" s="52">
        <f t="shared" si="53"/>
        <v>32523.219999999998</v>
      </c>
      <c r="J635" s="19"/>
      <c r="K635" s="30"/>
      <c r="L635" s="201"/>
    </row>
    <row r="636" spans="1:12" ht="24" outlineLevel="1" x14ac:dyDescent="0.2">
      <c r="A636" s="135" t="s">
        <v>1098</v>
      </c>
      <c r="B636" s="107">
        <v>43221</v>
      </c>
      <c r="C636" s="112">
        <v>43476</v>
      </c>
      <c r="D636" s="113">
        <v>70</v>
      </c>
      <c r="E636" s="164">
        <v>3061.37</v>
      </c>
      <c r="F636" s="164">
        <v>25492.58</v>
      </c>
      <c r="G636" s="164"/>
      <c r="H636" s="58">
        <f t="shared" si="52"/>
        <v>28553.95</v>
      </c>
      <c r="I636" s="52">
        <f t="shared" si="53"/>
        <v>28553.95</v>
      </c>
      <c r="J636" s="19"/>
      <c r="K636" s="30"/>
      <c r="L636" s="201"/>
    </row>
    <row r="637" spans="1:12" ht="24" outlineLevel="1" x14ac:dyDescent="0.2">
      <c r="A637" s="135" t="s">
        <v>1099</v>
      </c>
      <c r="B637" s="107">
        <v>43191</v>
      </c>
      <c r="C637" s="112">
        <v>43510</v>
      </c>
      <c r="D637" s="113">
        <v>70</v>
      </c>
      <c r="E637" s="164">
        <v>3061.37</v>
      </c>
      <c r="F637" s="164">
        <v>30358.27</v>
      </c>
      <c r="G637" s="164"/>
      <c r="H637" s="58">
        <f t="shared" si="52"/>
        <v>33419.64</v>
      </c>
      <c r="I637" s="52">
        <f t="shared" si="53"/>
        <v>33419.64</v>
      </c>
      <c r="J637" s="19"/>
      <c r="K637" s="30"/>
      <c r="L637" s="201"/>
    </row>
    <row r="638" spans="1:12" ht="24" outlineLevel="1" x14ac:dyDescent="0.2">
      <c r="A638" s="135" t="s">
        <v>1100</v>
      </c>
      <c r="B638" s="107">
        <v>43191</v>
      </c>
      <c r="C638" s="112">
        <v>43448</v>
      </c>
      <c r="D638" s="113">
        <v>70</v>
      </c>
      <c r="E638" s="164">
        <v>3061.37</v>
      </c>
      <c r="F638" s="164">
        <v>41076.410000000003</v>
      </c>
      <c r="G638" s="164"/>
      <c r="H638" s="58">
        <f t="shared" si="52"/>
        <v>44137.780000000006</v>
      </c>
      <c r="I638" s="52">
        <f t="shared" si="53"/>
        <v>44137.780000000006</v>
      </c>
      <c r="J638" s="19"/>
      <c r="K638" s="30"/>
      <c r="L638" s="201"/>
    </row>
    <row r="639" spans="1:12" ht="24" outlineLevel="1" x14ac:dyDescent="0.2">
      <c r="A639" s="135" t="s">
        <v>1101</v>
      </c>
      <c r="B639" s="107">
        <v>43221</v>
      </c>
      <c r="C639" s="112">
        <v>43517</v>
      </c>
      <c r="D639" s="113">
        <v>70</v>
      </c>
      <c r="E639" s="164">
        <v>3061.37</v>
      </c>
      <c r="F639" s="164">
        <v>29461.85</v>
      </c>
      <c r="G639" s="164"/>
      <c r="H639" s="58">
        <f t="shared" si="52"/>
        <v>32523.219999999998</v>
      </c>
      <c r="I639" s="52">
        <f t="shared" si="53"/>
        <v>32523.219999999998</v>
      </c>
      <c r="J639" s="19"/>
      <c r="K639" s="30"/>
      <c r="L639" s="201"/>
    </row>
    <row r="640" spans="1:12" ht="24" outlineLevel="1" x14ac:dyDescent="0.2">
      <c r="A640" s="135" t="s">
        <v>1102</v>
      </c>
      <c r="B640" s="107">
        <v>43191</v>
      </c>
      <c r="C640" s="112">
        <v>43469</v>
      </c>
      <c r="D640" s="113">
        <v>70</v>
      </c>
      <c r="E640" s="164">
        <v>3061.37</v>
      </c>
      <c r="F640" s="164">
        <v>28355.99</v>
      </c>
      <c r="G640" s="164"/>
      <c r="H640" s="58">
        <f t="shared" si="52"/>
        <v>31417.360000000001</v>
      </c>
      <c r="I640" s="52">
        <f t="shared" si="53"/>
        <v>31417.360000000001</v>
      </c>
      <c r="J640" s="19"/>
      <c r="K640" s="30"/>
      <c r="L640" s="201"/>
    </row>
    <row r="641" spans="1:12" ht="24" outlineLevel="1" x14ac:dyDescent="0.2">
      <c r="A641" s="135" t="s">
        <v>1103</v>
      </c>
      <c r="B641" s="107">
        <v>43191</v>
      </c>
      <c r="C641" s="112">
        <v>43510</v>
      </c>
      <c r="D641" s="113">
        <v>70</v>
      </c>
      <c r="E641" s="164">
        <v>3061.37</v>
      </c>
      <c r="F641" s="164">
        <v>30325.24</v>
      </c>
      <c r="G641" s="164"/>
      <c r="H641" s="58">
        <f t="shared" si="52"/>
        <v>33386.61</v>
      </c>
      <c r="I641" s="52">
        <f t="shared" si="53"/>
        <v>33386.61</v>
      </c>
      <c r="J641" s="19"/>
      <c r="K641" s="30"/>
      <c r="L641" s="201"/>
    </row>
    <row r="642" spans="1:12" ht="24" outlineLevel="1" x14ac:dyDescent="0.2">
      <c r="A642" s="135" t="s">
        <v>1104</v>
      </c>
      <c r="B642" s="107">
        <v>43191</v>
      </c>
      <c r="C642" s="112">
        <v>43432</v>
      </c>
      <c r="D642" s="113">
        <v>70</v>
      </c>
      <c r="E642" s="164">
        <v>3061.37</v>
      </c>
      <c r="F642" s="164">
        <v>30553.8</v>
      </c>
      <c r="G642" s="164"/>
      <c r="H642" s="58">
        <f t="shared" si="52"/>
        <v>33615.17</v>
      </c>
      <c r="I642" s="52">
        <f t="shared" si="53"/>
        <v>33615.17</v>
      </c>
      <c r="J642" s="19"/>
      <c r="K642" s="30"/>
      <c r="L642" s="201"/>
    </row>
    <row r="643" spans="1:12" outlineLevel="1" x14ac:dyDescent="0.2">
      <c r="A643" s="135" t="s">
        <v>1105</v>
      </c>
      <c r="B643" s="107">
        <v>43191</v>
      </c>
      <c r="C643" s="112">
        <v>43404</v>
      </c>
      <c r="D643" s="113">
        <v>80</v>
      </c>
      <c r="E643" s="164">
        <v>1334.43</v>
      </c>
      <c r="F643" s="164">
        <v>26061.83</v>
      </c>
      <c r="G643" s="164"/>
      <c r="H643" s="58">
        <f t="shared" si="52"/>
        <v>27396.260000000002</v>
      </c>
      <c r="I643" s="52">
        <f t="shared" si="53"/>
        <v>27396.260000000002</v>
      </c>
      <c r="J643" s="19"/>
      <c r="K643" s="30"/>
      <c r="L643" s="201"/>
    </row>
    <row r="644" spans="1:12" ht="24" outlineLevel="1" x14ac:dyDescent="0.2">
      <c r="A644" s="135" t="s">
        <v>1106</v>
      </c>
      <c r="B644" s="107">
        <v>43221</v>
      </c>
      <c r="C644" s="112">
        <v>43432</v>
      </c>
      <c r="D644" s="113">
        <v>70</v>
      </c>
      <c r="E644" s="164">
        <v>3061.37</v>
      </c>
      <c r="F644" s="164">
        <v>33163.61</v>
      </c>
      <c r="G644" s="164"/>
      <c r="H644" s="58">
        <f t="shared" si="52"/>
        <v>36224.980000000003</v>
      </c>
      <c r="I644" s="52">
        <f t="shared" si="53"/>
        <v>36224.980000000003</v>
      </c>
      <c r="J644" s="19"/>
      <c r="K644" s="30"/>
      <c r="L644" s="201"/>
    </row>
    <row r="645" spans="1:12" ht="24" outlineLevel="1" x14ac:dyDescent="0.2">
      <c r="A645" s="135" t="s">
        <v>1107</v>
      </c>
      <c r="B645" s="107">
        <v>43252</v>
      </c>
      <c r="C645" s="112">
        <v>43462</v>
      </c>
      <c r="D645" s="113">
        <v>70</v>
      </c>
      <c r="E645" s="164">
        <v>3061.37</v>
      </c>
      <c r="F645" s="164">
        <v>33399.339999999997</v>
      </c>
      <c r="G645" s="164"/>
      <c r="H645" s="58">
        <f t="shared" si="52"/>
        <v>36460.71</v>
      </c>
      <c r="I645" s="52">
        <f t="shared" si="53"/>
        <v>36460.71</v>
      </c>
      <c r="J645" s="19"/>
      <c r="K645" s="30"/>
      <c r="L645" s="201"/>
    </row>
    <row r="646" spans="1:12" outlineLevel="1" x14ac:dyDescent="0.2">
      <c r="A646" s="135" t="s">
        <v>1108</v>
      </c>
      <c r="B646" s="107">
        <v>43221</v>
      </c>
      <c r="C646" s="112">
        <v>43490</v>
      </c>
      <c r="D646" s="113">
        <v>70</v>
      </c>
      <c r="E646" s="164">
        <v>3061.37</v>
      </c>
      <c r="F646" s="164">
        <v>34362.97</v>
      </c>
      <c r="G646" s="164"/>
      <c r="H646" s="58">
        <f t="shared" si="52"/>
        <v>37424.340000000004</v>
      </c>
      <c r="I646" s="52">
        <f t="shared" si="53"/>
        <v>37424.340000000004</v>
      </c>
      <c r="J646" s="19"/>
      <c r="K646" s="30"/>
      <c r="L646" s="201"/>
    </row>
    <row r="647" spans="1:12" ht="24" outlineLevel="1" x14ac:dyDescent="0.2">
      <c r="A647" s="135" t="s">
        <v>1109</v>
      </c>
      <c r="B647" s="107">
        <v>43191</v>
      </c>
      <c r="C647" s="112">
        <v>43518</v>
      </c>
      <c r="D647" s="113">
        <v>70</v>
      </c>
      <c r="E647" s="164">
        <v>3061.37</v>
      </c>
      <c r="F647" s="164">
        <v>32325.279999999999</v>
      </c>
      <c r="G647" s="164"/>
      <c r="H647" s="58">
        <f t="shared" si="52"/>
        <v>35386.65</v>
      </c>
      <c r="I647" s="52">
        <f t="shared" si="53"/>
        <v>35386.65</v>
      </c>
      <c r="J647" s="19"/>
      <c r="K647" s="30"/>
      <c r="L647" s="201"/>
    </row>
    <row r="648" spans="1:12" ht="24" outlineLevel="1" x14ac:dyDescent="0.2">
      <c r="A648" s="135" t="s">
        <v>1110</v>
      </c>
      <c r="B648" s="107">
        <v>43191</v>
      </c>
      <c r="C648" s="112">
        <v>43510</v>
      </c>
      <c r="D648" s="113">
        <v>70</v>
      </c>
      <c r="E648" s="164">
        <v>3061.37</v>
      </c>
      <c r="F648" s="164">
        <v>48537.84</v>
      </c>
      <c r="G648" s="164"/>
      <c r="H648" s="58">
        <f t="shared" si="52"/>
        <v>51599.21</v>
      </c>
      <c r="I648" s="52">
        <f t="shared" si="53"/>
        <v>51599.21</v>
      </c>
      <c r="J648" s="19"/>
      <c r="K648" s="30"/>
      <c r="L648" s="201"/>
    </row>
    <row r="649" spans="1:12" outlineLevel="1" x14ac:dyDescent="0.2">
      <c r="A649" s="135" t="s">
        <v>1111</v>
      </c>
      <c r="B649" s="107">
        <v>43221</v>
      </c>
      <c r="C649" s="112">
        <v>43491</v>
      </c>
      <c r="D649" s="113">
        <v>70</v>
      </c>
      <c r="E649" s="164">
        <v>1334.43</v>
      </c>
      <c r="F649" s="164">
        <v>4748.07</v>
      </c>
      <c r="G649" s="164"/>
      <c r="H649" s="58">
        <f t="shared" si="52"/>
        <v>6082.5</v>
      </c>
      <c r="I649" s="52">
        <f t="shared" si="53"/>
        <v>6082.5</v>
      </c>
      <c r="J649" s="19"/>
      <c r="K649" s="30"/>
      <c r="L649" s="201"/>
    </row>
    <row r="650" spans="1:12" ht="24" outlineLevel="1" x14ac:dyDescent="0.2">
      <c r="A650" s="135" t="s">
        <v>1112</v>
      </c>
      <c r="B650" s="107">
        <v>43252</v>
      </c>
      <c r="C650" s="112">
        <v>43510</v>
      </c>
      <c r="D650" s="113">
        <v>70</v>
      </c>
      <c r="E650" s="164">
        <v>3061.37</v>
      </c>
      <c r="F650" s="164">
        <v>29545.29</v>
      </c>
      <c r="G650" s="164"/>
      <c r="H650" s="58">
        <f t="shared" si="52"/>
        <v>32606.66</v>
      </c>
      <c r="I650" s="52">
        <f t="shared" si="53"/>
        <v>32606.66</v>
      </c>
      <c r="J650" s="19"/>
      <c r="K650" s="30"/>
      <c r="L650" s="201"/>
    </row>
    <row r="651" spans="1:12" ht="24" outlineLevel="1" x14ac:dyDescent="0.2">
      <c r="A651" s="135" t="s">
        <v>1113</v>
      </c>
      <c r="B651" s="107">
        <v>43252</v>
      </c>
      <c r="C651" s="112">
        <v>43510</v>
      </c>
      <c r="D651" s="113">
        <v>70</v>
      </c>
      <c r="E651" s="164">
        <v>3061.37</v>
      </c>
      <c r="F651" s="164">
        <v>29545.27</v>
      </c>
      <c r="G651" s="164"/>
      <c r="H651" s="58">
        <f t="shared" si="52"/>
        <v>32606.639999999999</v>
      </c>
      <c r="I651" s="52">
        <f t="shared" si="53"/>
        <v>32606.639999999999</v>
      </c>
      <c r="J651" s="19"/>
      <c r="K651" s="30"/>
      <c r="L651" s="201"/>
    </row>
    <row r="652" spans="1:12" outlineLevel="1" x14ac:dyDescent="0.2">
      <c r="A652" s="135" t="s">
        <v>1114</v>
      </c>
      <c r="B652" s="107">
        <v>43221</v>
      </c>
      <c r="C652" s="112">
        <v>43464</v>
      </c>
      <c r="D652" s="113">
        <v>80</v>
      </c>
      <c r="E652" s="164">
        <v>6122.74</v>
      </c>
      <c r="F652" s="164">
        <v>51090.57</v>
      </c>
      <c r="G652" s="164"/>
      <c r="H652" s="58">
        <f t="shared" si="52"/>
        <v>57213.31</v>
      </c>
      <c r="I652" s="52">
        <f t="shared" si="53"/>
        <v>57213.31</v>
      </c>
      <c r="J652" s="19"/>
      <c r="K652" s="30"/>
      <c r="L652" s="201"/>
    </row>
    <row r="653" spans="1:12" ht="24" outlineLevel="1" x14ac:dyDescent="0.2">
      <c r="A653" s="135" t="s">
        <v>1115</v>
      </c>
      <c r="B653" s="107">
        <v>43221</v>
      </c>
      <c r="C653" s="112">
        <v>43454</v>
      </c>
      <c r="D653" s="113">
        <v>80</v>
      </c>
      <c r="E653" s="164">
        <v>2904.37</v>
      </c>
      <c r="F653" s="164">
        <v>40461.83</v>
      </c>
      <c r="G653" s="164"/>
      <c r="H653" s="58">
        <f t="shared" si="52"/>
        <v>43366.200000000004</v>
      </c>
      <c r="I653" s="52">
        <f t="shared" si="53"/>
        <v>43366.200000000004</v>
      </c>
      <c r="J653" s="19"/>
      <c r="K653" s="30"/>
      <c r="L653" s="201"/>
    </row>
    <row r="654" spans="1:12" outlineLevel="1" x14ac:dyDescent="0.2">
      <c r="A654" s="135" t="s">
        <v>1116</v>
      </c>
      <c r="B654" s="107">
        <v>43221</v>
      </c>
      <c r="C654" s="112">
        <v>43484</v>
      </c>
      <c r="D654" s="113">
        <v>80</v>
      </c>
      <c r="E654" s="164">
        <v>9184.11</v>
      </c>
      <c r="F654" s="164">
        <v>87652.03</v>
      </c>
      <c r="G654" s="164"/>
      <c r="H654" s="58">
        <f t="shared" si="52"/>
        <v>96836.14</v>
      </c>
      <c r="I654" s="52">
        <f t="shared" si="53"/>
        <v>96836.14</v>
      </c>
      <c r="J654" s="19"/>
      <c r="K654" s="30"/>
      <c r="L654" s="201"/>
    </row>
    <row r="655" spans="1:12" outlineLevel="1" x14ac:dyDescent="0.2">
      <c r="A655" s="135" t="s">
        <v>1117</v>
      </c>
      <c r="B655" s="107">
        <v>43221</v>
      </c>
      <c r="C655" s="112">
        <v>43558</v>
      </c>
      <c r="D655" s="113">
        <v>80</v>
      </c>
      <c r="E655" s="164">
        <v>33675.07</v>
      </c>
      <c r="F655" s="164">
        <v>405893.72</v>
      </c>
      <c r="G655" s="164"/>
      <c r="H655" s="58">
        <f t="shared" si="52"/>
        <v>439568.79</v>
      </c>
      <c r="I655" s="52">
        <f t="shared" si="53"/>
        <v>439568.79</v>
      </c>
      <c r="J655" s="19"/>
      <c r="K655" s="30"/>
      <c r="L655" s="201"/>
    </row>
    <row r="656" spans="1:12" ht="36" outlineLevel="1" x14ac:dyDescent="0.2">
      <c r="A656" s="135" t="s">
        <v>1118</v>
      </c>
      <c r="B656" s="107">
        <v>43252</v>
      </c>
      <c r="C656" s="112">
        <v>43529</v>
      </c>
      <c r="D656" s="113">
        <v>90</v>
      </c>
      <c r="E656" s="164">
        <v>1334.19</v>
      </c>
      <c r="F656" s="164">
        <v>4751.1499999999996</v>
      </c>
      <c r="G656" s="164"/>
      <c r="H656" s="58">
        <f t="shared" si="52"/>
        <v>6085.34</v>
      </c>
      <c r="I656" s="52">
        <f t="shared" si="53"/>
        <v>6085.34</v>
      </c>
      <c r="J656" s="19"/>
      <c r="K656" s="30"/>
      <c r="L656" s="201"/>
    </row>
    <row r="657" spans="1:12" x14ac:dyDescent="0.2">
      <c r="A657" s="20"/>
      <c r="B657" s="103"/>
      <c r="C657" s="103"/>
      <c r="D657" s="194"/>
      <c r="E657" s="68">
        <f>SUM(E617:E656)</f>
        <v>328417.7699999999</v>
      </c>
      <c r="F657" s="68">
        <f>SUM(F617:F656)</f>
        <v>3109930.6199999996</v>
      </c>
      <c r="G657" s="68">
        <f>SUM(G617:G656)</f>
        <v>0</v>
      </c>
      <c r="H657" s="58">
        <f>SUM(H617:H656)</f>
        <v>3438348.39</v>
      </c>
      <c r="I657" s="58">
        <f>SUM(I617:I656)</f>
        <v>3438348.39</v>
      </c>
      <c r="J657" s="56"/>
      <c r="K657" s="56"/>
      <c r="L657" s="201"/>
    </row>
    <row r="658" spans="1:12" x14ac:dyDescent="0.2">
      <c r="A658" s="22"/>
      <c r="B658" s="103"/>
      <c r="C658" s="104"/>
      <c r="D658" s="195"/>
      <c r="E658" s="70"/>
      <c r="F658" s="14"/>
      <c r="G658" s="14"/>
      <c r="H658" s="58"/>
      <c r="I658" s="52"/>
      <c r="J658" s="19"/>
      <c r="K658" s="30"/>
      <c r="L658" s="201"/>
    </row>
    <row r="659" spans="1:12" ht="24" x14ac:dyDescent="0.2">
      <c r="A659" s="44" t="s">
        <v>467</v>
      </c>
      <c r="B659" s="103"/>
      <c r="C659" s="103"/>
      <c r="D659" s="194"/>
      <c r="E659" s="68"/>
      <c r="F659" s="68"/>
      <c r="G659" s="68"/>
      <c r="H659" s="58"/>
      <c r="I659" s="58"/>
      <c r="J659" s="56"/>
      <c r="K659" s="56"/>
      <c r="L659" s="201"/>
    </row>
    <row r="660" spans="1:12" ht="36" outlineLevel="1" x14ac:dyDescent="0.2">
      <c r="A660" s="45" t="s">
        <v>1119</v>
      </c>
      <c r="B660" s="107">
        <v>43192</v>
      </c>
      <c r="C660" s="107">
        <v>43465</v>
      </c>
      <c r="D660" s="108">
        <v>90</v>
      </c>
      <c r="E660" s="173"/>
      <c r="F660" s="173">
        <v>22500</v>
      </c>
      <c r="G660" s="164"/>
      <c r="H660" s="37">
        <v>22500</v>
      </c>
      <c r="I660" s="37">
        <v>22500</v>
      </c>
      <c r="J660" s="15"/>
      <c r="K660" s="15"/>
      <c r="L660" s="201"/>
    </row>
    <row r="661" spans="1:12" ht="48" outlineLevel="1" x14ac:dyDescent="0.2">
      <c r="A661" s="45" t="s">
        <v>1120</v>
      </c>
      <c r="B661" s="112">
        <v>43028</v>
      </c>
      <c r="C661" s="107">
        <v>43392</v>
      </c>
      <c r="D661" s="108">
        <v>30</v>
      </c>
      <c r="E661" s="173"/>
      <c r="F661" s="173">
        <v>20000</v>
      </c>
      <c r="G661" s="164"/>
      <c r="H661" s="37">
        <v>20000</v>
      </c>
      <c r="I661" s="37">
        <v>20000</v>
      </c>
      <c r="J661" s="15"/>
      <c r="K661" s="15"/>
      <c r="L661" s="201"/>
    </row>
    <row r="662" spans="1:12" ht="24" outlineLevel="1" x14ac:dyDescent="0.2">
      <c r="A662" s="45" t="s">
        <v>1121</v>
      </c>
      <c r="B662" s="112">
        <v>42961</v>
      </c>
      <c r="C662" s="107">
        <v>43320</v>
      </c>
      <c r="D662" s="108">
        <v>50</v>
      </c>
      <c r="E662" s="173"/>
      <c r="F662" s="173">
        <v>5950</v>
      </c>
      <c r="G662" s="164"/>
      <c r="H662" s="37">
        <v>5950</v>
      </c>
      <c r="I662" s="37">
        <v>5950</v>
      </c>
      <c r="J662" s="15"/>
      <c r="K662" s="15"/>
      <c r="L662" s="201"/>
    </row>
    <row r="663" spans="1:12" ht="96" outlineLevel="1" x14ac:dyDescent="0.2">
      <c r="A663" s="45" t="s">
        <v>1122</v>
      </c>
      <c r="B663" s="112">
        <v>42744</v>
      </c>
      <c r="C663" s="107" t="s">
        <v>1123</v>
      </c>
      <c r="D663" s="108"/>
      <c r="E663" s="173">
        <v>56058.95</v>
      </c>
      <c r="F663" s="173"/>
      <c r="G663" s="164"/>
      <c r="H663" s="37">
        <v>56058.95</v>
      </c>
      <c r="I663" s="37">
        <v>56058.95</v>
      </c>
      <c r="J663" s="15"/>
      <c r="K663" s="15"/>
      <c r="L663" s="201"/>
    </row>
    <row r="664" spans="1:12" ht="96" outlineLevel="1" x14ac:dyDescent="0.2">
      <c r="A664" s="45" t="s">
        <v>1124</v>
      </c>
      <c r="B664" s="112">
        <v>42744</v>
      </c>
      <c r="C664" s="107" t="s">
        <v>1123</v>
      </c>
      <c r="D664" s="108"/>
      <c r="E664" s="173">
        <v>239267.84</v>
      </c>
      <c r="F664" s="173"/>
      <c r="G664" s="164"/>
      <c r="H664" s="37">
        <v>239267.84</v>
      </c>
      <c r="I664" s="37">
        <v>239267.84</v>
      </c>
      <c r="J664" s="15"/>
      <c r="K664" s="15"/>
      <c r="L664" s="201"/>
    </row>
    <row r="665" spans="1:12" ht="96" outlineLevel="1" x14ac:dyDescent="0.2">
      <c r="A665" s="45" t="s">
        <v>1125</v>
      </c>
      <c r="B665" s="112">
        <v>42744</v>
      </c>
      <c r="C665" s="107" t="s">
        <v>1123</v>
      </c>
      <c r="D665" s="108"/>
      <c r="E665" s="173">
        <v>154501.46</v>
      </c>
      <c r="F665" s="173"/>
      <c r="G665" s="164"/>
      <c r="H665" s="37">
        <v>154501.46</v>
      </c>
      <c r="I665" s="37">
        <v>154501.46</v>
      </c>
      <c r="J665" s="15"/>
      <c r="K665" s="15"/>
      <c r="L665" s="201"/>
    </row>
    <row r="666" spans="1:12" s="4" customFormat="1" ht="26.25" customHeight="1" x14ac:dyDescent="0.2">
      <c r="A666" s="28"/>
      <c r="B666" s="103"/>
      <c r="C666" s="104"/>
      <c r="D666" s="195"/>
      <c r="E666" s="68">
        <f>SUM(E660:E665)</f>
        <v>449828.25</v>
      </c>
      <c r="F666" s="68">
        <f>SUM(F660:F665)</f>
        <v>48450</v>
      </c>
      <c r="G666" s="68">
        <f>SUM(G660:G665)</f>
        <v>0</v>
      </c>
      <c r="H666" s="58">
        <f t="shared" ref="H666" si="54">E666+F666+G666</f>
        <v>498278.25</v>
      </c>
      <c r="I666" s="52">
        <f t="shared" ref="I666" si="55">H666</f>
        <v>498278.25</v>
      </c>
      <c r="J666" s="92"/>
      <c r="K666" s="86"/>
      <c r="L666" s="215"/>
    </row>
    <row r="667" spans="1:12" s="4" customFormat="1" ht="31.5" customHeight="1" x14ac:dyDescent="0.2">
      <c r="A667" s="44" t="s">
        <v>468</v>
      </c>
      <c r="B667" s="103"/>
      <c r="C667" s="104"/>
      <c r="D667" s="195"/>
      <c r="E667" s="71"/>
      <c r="F667" s="71"/>
      <c r="G667" s="14"/>
      <c r="H667" s="37"/>
      <c r="I667" s="52"/>
      <c r="J667" s="14"/>
      <c r="K667" s="43"/>
      <c r="L667" s="215"/>
    </row>
    <row r="668" spans="1:12" s="27" customFormat="1" ht="28.5" customHeight="1" outlineLevel="1" x14ac:dyDescent="0.2">
      <c r="A668" s="59" t="s">
        <v>139</v>
      </c>
      <c r="B668" s="114">
        <v>42948</v>
      </c>
      <c r="C668" s="183">
        <v>43558</v>
      </c>
      <c r="D668" s="197">
        <v>10</v>
      </c>
      <c r="E668" s="174"/>
      <c r="F668" s="174">
        <v>2483.17</v>
      </c>
      <c r="G668" s="174"/>
      <c r="H668" s="126">
        <f>E668+F668+G668</f>
        <v>2483.17</v>
      </c>
      <c r="I668" s="126">
        <v>2483.17</v>
      </c>
      <c r="J668" s="136"/>
      <c r="K668" s="136"/>
      <c r="L668" s="204"/>
    </row>
    <row r="669" spans="1:12" s="27" customFormat="1" ht="27" customHeight="1" outlineLevel="1" x14ac:dyDescent="0.2">
      <c r="A669" s="59" t="s">
        <v>469</v>
      </c>
      <c r="B669" s="114">
        <v>43160</v>
      </c>
      <c r="C669" s="183">
        <v>43585</v>
      </c>
      <c r="D669" s="197">
        <v>10</v>
      </c>
      <c r="E669" s="174"/>
      <c r="F669" s="174">
        <v>1733.63</v>
      </c>
      <c r="G669" s="174"/>
      <c r="H669" s="126">
        <f t="shared" ref="H669:H745" si="56">E669+F669+G669</f>
        <v>1733.63</v>
      </c>
      <c r="I669" s="126">
        <v>1733.63</v>
      </c>
      <c r="J669" s="136"/>
      <c r="K669" s="136"/>
      <c r="L669" s="204"/>
    </row>
    <row r="670" spans="1:12" s="27" customFormat="1" ht="27.75" customHeight="1" outlineLevel="1" x14ac:dyDescent="0.2">
      <c r="A670" s="59" t="s">
        <v>470</v>
      </c>
      <c r="B670" s="114">
        <v>43132</v>
      </c>
      <c r="C670" s="183">
        <v>43770</v>
      </c>
      <c r="D670" s="197">
        <v>10</v>
      </c>
      <c r="E670" s="174"/>
      <c r="F670" s="174">
        <v>1985.24</v>
      </c>
      <c r="G670" s="174"/>
      <c r="H670" s="126">
        <f t="shared" si="56"/>
        <v>1985.24</v>
      </c>
      <c r="I670" s="126">
        <v>1985.24</v>
      </c>
      <c r="J670" s="136"/>
      <c r="K670" s="136"/>
      <c r="L670" s="204"/>
    </row>
    <row r="671" spans="1:12" s="27" customFormat="1" ht="26.25" customHeight="1" outlineLevel="1" x14ac:dyDescent="0.2">
      <c r="A671" s="59" t="s">
        <v>1126</v>
      </c>
      <c r="B671" s="114">
        <v>43191</v>
      </c>
      <c r="C671" s="183">
        <v>43437</v>
      </c>
      <c r="D671" s="197">
        <v>10</v>
      </c>
      <c r="E671" s="174"/>
      <c r="F671" s="174">
        <v>1391.38</v>
      </c>
      <c r="G671" s="174"/>
      <c r="H671" s="126">
        <f t="shared" si="56"/>
        <v>1391.38</v>
      </c>
      <c r="I671" s="126">
        <v>1391.38</v>
      </c>
      <c r="J671" s="136"/>
      <c r="K671" s="136"/>
      <c r="L671" s="204"/>
    </row>
    <row r="672" spans="1:12" s="27" customFormat="1" ht="27" customHeight="1" outlineLevel="1" x14ac:dyDescent="0.2">
      <c r="A672" s="59" t="s">
        <v>1127</v>
      </c>
      <c r="B672" s="114">
        <v>43252</v>
      </c>
      <c r="C672" s="183">
        <v>43528</v>
      </c>
      <c r="D672" s="197">
        <v>10</v>
      </c>
      <c r="E672" s="174"/>
      <c r="F672" s="174">
        <v>1048.54</v>
      </c>
      <c r="G672" s="174"/>
      <c r="H672" s="126">
        <f t="shared" si="56"/>
        <v>1048.54</v>
      </c>
      <c r="I672" s="126">
        <v>1048.54</v>
      </c>
      <c r="J672" s="136"/>
      <c r="K672" s="136"/>
      <c r="L672" s="204"/>
    </row>
    <row r="673" spans="1:12" s="27" customFormat="1" ht="26.25" customHeight="1" outlineLevel="1" x14ac:dyDescent="0.2">
      <c r="A673" s="59" t="s">
        <v>310</v>
      </c>
      <c r="B673" s="114">
        <v>43040</v>
      </c>
      <c r="C673" s="183">
        <v>43348</v>
      </c>
      <c r="D673" s="197">
        <v>85</v>
      </c>
      <c r="E673" s="174">
        <v>7461.86</v>
      </c>
      <c r="F673" s="174">
        <v>37033.49</v>
      </c>
      <c r="G673" s="174"/>
      <c r="H673" s="126">
        <f t="shared" si="56"/>
        <v>44495.35</v>
      </c>
      <c r="I673" s="126">
        <v>44495.35</v>
      </c>
      <c r="J673" s="136"/>
      <c r="K673" s="136"/>
      <c r="L673" s="204"/>
    </row>
    <row r="674" spans="1:12" ht="24" outlineLevel="1" x14ac:dyDescent="0.2">
      <c r="A674" s="59" t="s">
        <v>1128</v>
      </c>
      <c r="B674" s="114">
        <v>43191</v>
      </c>
      <c r="C674" s="183">
        <v>43412</v>
      </c>
      <c r="D674" s="197">
        <v>10</v>
      </c>
      <c r="E674" s="174"/>
      <c r="F674" s="174">
        <v>1391.38</v>
      </c>
      <c r="G674" s="174"/>
      <c r="H674" s="126">
        <f t="shared" si="56"/>
        <v>1391.38</v>
      </c>
      <c r="I674" s="126">
        <v>1391.38</v>
      </c>
      <c r="J674" s="136"/>
      <c r="K674" s="136"/>
      <c r="L674" s="201"/>
    </row>
    <row r="675" spans="1:12" s="29" customFormat="1" ht="24" outlineLevel="1" x14ac:dyDescent="0.2">
      <c r="A675" s="59" t="s">
        <v>1129</v>
      </c>
      <c r="B675" s="114">
        <v>43191</v>
      </c>
      <c r="C675" s="183">
        <v>43405</v>
      </c>
      <c r="D675" s="197">
        <v>10</v>
      </c>
      <c r="E675" s="174"/>
      <c r="F675" s="174">
        <v>1391.38</v>
      </c>
      <c r="G675" s="174"/>
      <c r="H675" s="126">
        <f t="shared" si="56"/>
        <v>1391.38</v>
      </c>
      <c r="I675" s="126">
        <v>1391.38</v>
      </c>
      <c r="J675" s="136"/>
      <c r="K675" s="136"/>
      <c r="L675" s="207"/>
    </row>
    <row r="676" spans="1:12" s="29" customFormat="1" outlineLevel="1" x14ac:dyDescent="0.2">
      <c r="A676" s="59" t="s">
        <v>1130</v>
      </c>
      <c r="B676" s="114">
        <v>43252</v>
      </c>
      <c r="C676" s="183">
        <v>43463</v>
      </c>
      <c r="D676" s="197">
        <v>10</v>
      </c>
      <c r="E676" s="174"/>
      <c r="F676" s="174">
        <v>1048.54</v>
      </c>
      <c r="G676" s="174"/>
      <c r="H676" s="126">
        <f t="shared" si="56"/>
        <v>1048.54</v>
      </c>
      <c r="I676" s="126">
        <v>1048.54</v>
      </c>
      <c r="J676" s="136"/>
      <c r="K676" s="136"/>
      <c r="L676" s="207"/>
    </row>
    <row r="677" spans="1:12" s="29" customFormat="1" ht="24" outlineLevel="1" x14ac:dyDescent="0.2">
      <c r="A677" s="59" t="s">
        <v>471</v>
      </c>
      <c r="B677" s="114">
        <v>43160</v>
      </c>
      <c r="C677" s="183">
        <v>43349</v>
      </c>
      <c r="D677" s="197">
        <v>10</v>
      </c>
      <c r="E677" s="174"/>
      <c r="F677" s="174">
        <v>1733.63</v>
      </c>
      <c r="G677" s="174"/>
      <c r="H677" s="126">
        <f t="shared" si="56"/>
        <v>1733.63</v>
      </c>
      <c r="I677" s="126">
        <v>1733.63</v>
      </c>
      <c r="J677" s="136"/>
      <c r="K677" s="136"/>
      <c r="L677" s="207"/>
    </row>
    <row r="678" spans="1:12" s="29" customFormat="1" outlineLevel="1" x14ac:dyDescent="0.2">
      <c r="A678" s="59" t="s">
        <v>1131</v>
      </c>
      <c r="B678" s="114">
        <v>43252</v>
      </c>
      <c r="C678" s="183">
        <v>43503</v>
      </c>
      <c r="D678" s="197">
        <v>10</v>
      </c>
      <c r="E678" s="174"/>
      <c r="F678" s="174">
        <v>1457.92</v>
      </c>
      <c r="G678" s="174"/>
      <c r="H678" s="126">
        <f t="shared" si="56"/>
        <v>1457.92</v>
      </c>
      <c r="I678" s="126">
        <v>1457.92</v>
      </c>
      <c r="J678" s="136"/>
      <c r="K678" s="136"/>
      <c r="L678" s="207"/>
    </row>
    <row r="679" spans="1:12" s="29" customFormat="1" outlineLevel="1" x14ac:dyDescent="0.2">
      <c r="A679" s="59" t="s">
        <v>1132</v>
      </c>
      <c r="B679" s="114">
        <v>43191</v>
      </c>
      <c r="C679" s="183">
        <v>43406</v>
      </c>
      <c r="D679" s="197">
        <v>10</v>
      </c>
      <c r="E679" s="174"/>
      <c r="F679" s="174">
        <v>56391.38</v>
      </c>
      <c r="G679" s="174"/>
      <c r="H679" s="126">
        <f t="shared" si="56"/>
        <v>56391.38</v>
      </c>
      <c r="I679" s="126">
        <v>56391.38</v>
      </c>
      <c r="J679" s="136"/>
      <c r="K679" s="136"/>
      <c r="L679" s="207"/>
    </row>
    <row r="680" spans="1:12" s="29" customFormat="1" ht="24" outlineLevel="1" x14ac:dyDescent="0.2">
      <c r="A680" s="59" t="s">
        <v>1133</v>
      </c>
      <c r="B680" s="114">
        <v>43191</v>
      </c>
      <c r="C680" s="183">
        <v>43406</v>
      </c>
      <c r="D680" s="197">
        <v>10</v>
      </c>
      <c r="E680" s="174"/>
      <c r="F680" s="174">
        <v>54249.98</v>
      </c>
      <c r="G680" s="174"/>
      <c r="H680" s="126">
        <f t="shared" si="56"/>
        <v>54249.98</v>
      </c>
      <c r="I680" s="126">
        <v>54249.98</v>
      </c>
      <c r="J680" s="136"/>
      <c r="K680" s="136"/>
      <c r="L680" s="207"/>
    </row>
    <row r="681" spans="1:12" s="29" customFormat="1" ht="24" outlineLevel="1" x14ac:dyDescent="0.2">
      <c r="A681" s="59" t="s">
        <v>472</v>
      </c>
      <c r="B681" s="114">
        <v>43160</v>
      </c>
      <c r="C681" s="183">
        <v>43393</v>
      </c>
      <c r="D681" s="197">
        <v>10</v>
      </c>
      <c r="E681" s="174"/>
      <c r="F681" s="174">
        <v>1733.63</v>
      </c>
      <c r="G681" s="174"/>
      <c r="H681" s="126">
        <f t="shared" si="56"/>
        <v>1733.63</v>
      </c>
      <c r="I681" s="126">
        <v>1733.63</v>
      </c>
      <c r="J681" s="136"/>
      <c r="K681" s="136"/>
      <c r="L681" s="207"/>
    </row>
    <row r="682" spans="1:12" s="29" customFormat="1" ht="24" outlineLevel="1" x14ac:dyDescent="0.2">
      <c r="A682" s="59" t="s">
        <v>1134</v>
      </c>
      <c r="B682" s="114">
        <v>43252</v>
      </c>
      <c r="C682" s="183">
        <v>43478</v>
      </c>
      <c r="D682" s="197">
        <v>10</v>
      </c>
      <c r="E682" s="174"/>
      <c r="F682" s="174">
        <v>1457.92</v>
      </c>
      <c r="G682" s="174"/>
      <c r="H682" s="126">
        <f t="shared" si="56"/>
        <v>1457.92</v>
      </c>
      <c r="I682" s="126">
        <v>1457.92</v>
      </c>
      <c r="J682" s="136"/>
      <c r="K682" s="136"/>
      <c r="L682" s="207"/>
    </row>
    <row r="683" spans="1:12" s="29" customFormat="1" ht="24" outlineLevel="1" x14ac:dyDescent="0.2">
      <c r="A683" s="59" t="s">
        <v>473</v>
      </c>
      <c r="B683" s="114">
        <v>43132</v>
      </c>
      <c r="C683" s="183">
        <v>43399</v>
      </c>
      <c r="D683" s="197">
        <v>10</v>
      </c>
      <c r="E683" s="174"/>
      <c r="F683" s="174">
        <v>1146.3599999999999</v>
      </c>
      <c r="G683" s="174"/>
      <c r="H683" s="126">
        <f t="shared" si="56"/>
        <v>1146.3599999999999</v>
      </c>
      <c r="I683" s="126">
        <v>1146.3599999999999</v>
      </c>
      <c r="J683" s="136"/>
      <c r="K683" s="136"/>
      <c r="L683" s="207"/>
    </row>
    <row r="684" spans="1:12" s="29" customFormat="1" ht="24" outlineLevel="1" x14ac:dyDescent="0.2">
      <c r="A684" s="59" t="s">
        <v>474</v>
      </c>
      <c r="B684" s="114">
        <v>42795</v>
      </c>
      <c r="C684" s="183">
        <v>43383</v>
      </c>
      <c r="D684" s="197">
        <v>10</v>
      </c>
      <c r="E684" s="174"/>
      <c r="F684" s="174">
        <v>36733.629999999997</v>
      </c>
      <c r="G684" s="174"/>
      <c r="H684" s="126">
        <f t="shared" si="56"/>
        <v>36733.629999999997</v>
      </c>
      <c r="I684" s="126">
        <v>36733.629999999997</v>
      </c>
      <c r="J684" s="136"/>
      <c r="K684" s="136"/>
      <c r="L684" s="207"/>
    </row>
    <row r="685" spans="1:12" s="29" customFormat="1" ht="24" outlineLevel="1" x14ac:dyDescent="0.2">
      <c r="A685" s="59" t="s">
        <v>475</v>
      </c>
      <c r="B685" s="114">
        <v>43160</v>
      </c>
      <c r="C685" s="183">
        <v>43399</v>
      </c>
      <c r="D685" s="197">
        <v>10</v>
      </c>
      <c r="E685" s="174"/>
      <c r="F685" s="174">
        <v>40510</v>
      </c>
      <c r="G685" s="174"/>
      <c r="H685" s="126">
        <f t="shared" si="56"/>
        <v>40510</v>
      </c>
      <c r="I685" s="126">
        <v>40510</v>
      </c>
      <c r="J685" s="136"/>
      <c r="K685" s="136"/>
      <c r="L685" s="207"/>
    </row>
    <row r="686" spans="1:12" s="29" customFormat="1" ht="24" outlineLevel="1" x14ac:dyDescent="0.2">
      <c r="A686" s="59" t="s">
        <v>476</v>
      </c>
      <c r="B686" s="114">
        <v>43132</v>
      </c>
      <c r="C686" s="183">
        <v>43363</v>
      </c>
      <c r="D686" s="197">
        <v>10</v>
      </c>
      <c r="E686" s="174"/>
      <c r="F686" s="174">
        <v>1985.24</v>
      </c>
      <c r="G686" s="174"/>
      <c r="H686" s="126">
        <f t="shared" si="56"/>
        <v>1985.24</v>
      </c>
      <c r="I686" s="126">
        <v>1985.24</v>
      </c>
      <c r="J686" s="136"/>
      <c r="K686" s="136"/>
      <c r="L686" s="207"/>
    </row>
    <row r="687" spans="1:12" s="29" customFormat="1" outlineLevel="1" x14ac:dyDescent="0.2">
      <c r="A687" s="59" t="s">
        <v>1135</v>
      </c>
      <c r="B687" s="114">
        <v>43252</v>
      </c>
      <c r="C687" s="183">
        <v>43463</v>
      </c>
      <c r="D687" s="197">
        <v>10</v>
      </c>
      <c r="E687" s="174"/>
      <c r="F687" s="174">
        <v>1048.54</v>
      </c>
      <c r="G687" s="174"/>
      <c r="H687" s="126">
        <f t="shared" si="56"/>
        <v>1048.54</v>
      </c>
      <c r="I687" s="126">
        <v>1048.54</v>
      </c>
      <c r="J687" s="136"/>
      <c r="K687" s="136"/>
      <c r="L687" s="207"/>
    </row>
    <row r="688" spans="1:12" s="29" customFormat="1" outlineLevel="1" x14ac:dyDescent="0.2">
      <c r="A688" s="59" t="s">
        <v>1136</v>
      </c>
      <c r="B688" s="114">
        <v>43252</v>
      </c>
      <c r="C688" s="183">
        <v>43489</v>
      </c>
      <c r="D688" s="197">
        <v>10</v>
      </c>
      <c r="E688" s="174"/>
      <c r="F688" s="174">
        <v>1457.92</v>
      </c>
      <c r="G688" s="174"/>
      <c r="H688" s="126">
        <f t="shared" si="56"/>
        <v>1457.92</v>
      </c>
      <c r="I688" s="126">
        <v>1457.92</v>
      </c>
      <c r="J688" s="136"/>
      <c r="K688" s="136"/>
      <c r="L688" s="207"/>
    </row>
    <row r="689" spans="1:12" s="29" customFormat="1" ht="24" outlineLevel="1" x14ac:dyDescent="0.2">
      <c r="A689" s="59" t="s">
        <v>1137</v>
      </c>
      <c r="B689" s="114">
        <v>43221</v>
      </c>
      <c r="C689" s="183">
        <v>43495</v>
      </c>
      <c r="D689" s="197">
        <v>10</v>
      </c>
      <c r="E689" s="174"/>
      <c r="F689" s="174">
        <v>1112.2</v>
      </c>
      <c r="G689" s="174"/>
      <c r="H689" s="126">
        <f t="shared" si="56"/>
        <v>1112.2</v>
      </c>
      <c r="I689" s="126">
        <v>1112.2</v>
      </c>
      <c r="J689" s="136"/>
      <c r="K689" s="136"/>
      <c r="L689" s="207"/>
    </row>
    <row r="690" spans="1:12" s="4" customFormat="1" ht="24.75" customHeight="1" outlineLevel="1" x14ac:dyDescent="0.2">
      <c r="A690" s="59" t="s">
        <v>1138</v>
      </c>
      <c r="B690" s="114">
        <v>43252</v>
      </c>
      <c r="C690" s="183">
        <v>43537</v>
      </c>
      <c r="D690" s="197">
        <v>10</v>
      </c>
      <c r="E690" s="174"/>
      <c r="F690" s="174">
        <v>1457.92</v>
      </c>
      <c r="G690" s="174"/>
      <c r="H690" s="126">
        <f t="shared" si="56"/>
        <v>1457.92</v>
      </c>
      <c r="I690" s="126">
        <v>1457.92</v>
      </c>
      <c r="J690" s="136"/>
      <c r="K690" s="136"/>
      <c r="L690" s="215"/>
    </row>
    <row r="691" spans="1:12" ht="41.25" customHeight="1" outlineLevel="1" x14ac:dyDescent="0.2">
      <c r="A691" s="59" t="s">
        <v>1139</v>
      </c>
      <c r="B691" s="114">
        <v>43252</v>
      </c>
      <c r="C691" s="183">
        <v>43528</v>
      </c>
      <c r="D691" s="197">
        <v>10</v>
      </c>
      <c r="E691" s="174"/>
      <c r="F691" s="174">
        <v>1457.92</v>
      </c>
      <c r="G691" s="174"/>
      <c r="H691" s="126">
        <f t="shared" si="56"/>
        <v>1457.92</v>
      </c>
      <c r="I691" s="126">
        <v>1457.92</v>
      </c>
      <c r="J691" s="136"/>
      <c r="K691" s="136"/>
      <c r="L691" s="201"/>
    </row>
    <row r="692" spans="1:12" outlineLevel="1" x14ac:dyDescent="0.2">
      <c r="A692" s="59" t="s">
        <v>1140</v>
      </c>
      <c r="B692" s="114">
        <v>43252</v>
      </c>
      <c r="C692" s="183">
        <v>43539</v>
      </c>
      <c r="D692" s="197">
        <v>10</v>
      </c>
      <c r="E692" s="174"/>
      <c r="F692" s="174">
        <v>1048.54</v>
      </c>
      <c r="G692" s="174"/>
      <c r="H692" s="126">
        <f t="shared" si="56"/>
        <v>1048.54</v>
      </c>
      <c r="I692" s="126">
        <v>1048.54</v>
      </c>
      <c r="J692" s="136"/>
      <c r="K692" s="136"/>
      <c r="L692" s="201"/>
    </row>
    <row r="693" spans="1:12" s="27" customFormat="1" ht="33" customHeight="1" outlineLevel="1" x14ac:dyDescent="0.2">
      <c r="A693" s="59" t="s">
        <v>1141</v>
      </c>
      <c r="B693" s="114">
        <v>43252</v>
      </c>
      <c r="C693" s="183">
        <v>43528</v>
      </c>
      <c r="D693" s="197">
        <v>10</v>
      </c>
      <c r="E693" s="174"/>
      <c r="F693" s="174">
        <v>1048.54</v>
      </c>
      <c r="G693" s="174"/>
      <c r="H693" s="126">
        <f t="shared" si="56"/>
        <v>1048.54</v>
      </c>
      <c r="I693" s="126">
        <v>1048.54</v>
      </c>
      <c r="J693" s="136"/>
      <c r="K693" s="136"/>
      <c r="L693" s="204"/>
    </row>
    <row r="694" spans="1:12" s="27" customFormat="1" ht="29.25" customHeight="1" outlineLevel="1" x14ac:dyDescent="0.2">
      <c r="A694" s="59" t="s">
        <v>1142</v>
      </c>
      <c r="B694" s="114">
        <v>43252</v>
      </c>
      <c r="C694" s="183">
        <v>43519</v>
      </c>
      <c r="D694" s="197">
        <v>10</v>
      </c>
      <c r="E694" s="174"/>
      <c r="F694" s="174">
        <v>1048.54</v>
      </c>
      <c r="G694" s="174"/>
      <c r="H694" s="126">
        <f t="shared" si="56"/>
        <v>1048.54</v>
      </c>
      <c r="I694" s="126">
        <v>1048.54</v>
      </c>
      <c r="J694" s="136"/>
      <c r="K694" s="136"/>
      <c r="L694" s="204"/>
    </row>
    <row r="695" spans="1:12" s="27" customFormat="1" ht="27.75" customHeight="1" outlineLevel="1" x14ac:dyDescent="0.2">
      <c r="A695" s="59" t="s">
        <v>1143</v>
      </c>
      <c r="B695" s="114">
        <v>43252</v>
      </c>
      <c r="C695" s="183">
        <v>43519</v>
      </c>
      <c r="D695" s="197">
        <v>10</v>
      </c>
      <c r="E695" s="174"/>
      <c r="F695" s="174">
        <v>1390.9</v>
      </c>
      <c r="G695" s="174"/>
      <c r="H695" s="126">
        <f t="shared" si="56"/>
        <v>1390.9</v>
      </c>
      <c r="I695" s="126">
        <v>1390.9</v>
      </c>
      <c r="J695" s="136"/>
      <c r="K695" s="136"/>
      <c r="L695" s="204"/>
    </row>
    <row r="696" spans="1:12" s="27" customFormat="1" ht="30.75" customHeight="1" outlineLevel="1" x14ac:dyDescent="0.2">
      <c r="A696" s="59" t="s">
        <v>140</v>
      </c>
      <c r="B696" s="114">
        <v>42948</v>
      </c>
      <c r="C696" s="183">
        <v>43560</v>
      </c>
      <c r="D696" s="197">
        <v>10</v>
      </c>
      <c r="E696" s="174"/>
      <c r="F696" s="174">
        <v>2483.17</v>
      </c>
      <c r="G696" s="174"/>
      <c r="H696" s="126">
        <f t="shared" si="56"/>
        <v>2483.17</v>
      </c>
      <c r="I696" s="126">
        <v>2483.17</v>
      </c>
      <c r="J696" s="136"/>
      <c r="K696" s="136"/>
      <c r="L696" s="204"/>
    </row>
    <row r="697" spans="1:12" s="27" customFormat="1" ht="30" customHeight="1" outlineLevel="1" x14ac:dyDescent="0.2">
      <c r="A697" s="59" t="s">
        <v>311</v>
      </c>
      <c r="B697" s="114">
        <v>43070</v>
      </c>
      <c r="C697" s="183">
        <v>43398</v>
      </c>
      <c r="D697" s="197">
        <v>50</v>
      </c>
      <c r="E697" s="174">
        <v>878.54</v>
      </c>
      <c r="F697" s="174">
        <v>3086.6</v>
      </c>
      <c r="G697" s="174"/>
      <c r="H697" s="126">
        <f t="shared" si="56"/>
        <v>3965.14</v>
      </c>
      <c r="I697" s="126">
        <v>3965.14</v>
      </c>
      <c r="J697" s="136"/>
      <c r="K697" s="136"/>
      <c r="L697" s="204"/>
    </row>
    <row r="698" spans="1:12" s="27" customFormat="1" ht="36.75" customHeight="1" outlineLevel="1" x14ac:dyDescent="0.2">
      <c r="A698" s="59" t="s">
        <v>312</v>
      </c>
      <c r="B698" s="114">
        <v>43009</v>
      </c>
      <c r="C698" s="183">
        <v>43492</v>
      </c>
      <c r="D698" s="197">
        <v>75</v>
      </c>
      <c r="E698" s="174">
        <v>504298.35</v>
      </c>
      <c r="F698" s="174">
        <v>82717.03</v>
      </c>
      <c r="G698" s="174"/>
      <c r="H698" s="126">
        <f t="shared" si="56"/>
        <v>587015.38</v>
      </c>
      <c r="I698" s="126">
        <v>587015.38</v>
      </c>
      <c r="J698" s="136"/>
      <c r="K698" s="136"/>
      <c r="L698" s="204"/>
    </row>
    <row r="699" spans="1:12" s="27" customFormat="1" ht="30.75" customHeight="1" outlineLevel="1" x14ac:dyDescent="0.2">
      <c r="A699" s="59" t="s">
        <v>1144</v>
      </c>
      <c r="B699" s="114">
        <v>43252</v>
      </c>
      <c r="C699" s="183">
        <v>43475</v>
      </c>
      <c r="D699" s="197">
        <v>10</v>
      </c>
      <c r="E699" s="174"/>
      <c r="F699" s="174">
        <v>1457.92</v>
      </c>
      <c r="G699" s="174"/>
      <c r="H699" s="126">
        <f t="shared" si="56"/>
        <v>1457.92</v>
      </c>
      <c r="I699" s="126">
        <v>1457.92</v>
      </c>
      <c r="J699" s="136"/>
      <c r="K699" s="136"/>
      <c r="L699" s="204"/>
    </row>
    <row r="700" spans="1:12" s="27" customFormat="1" ht="32.25" customHeight="1" outlineLevel="1" x14ac:dyDescent="0.2">
      <c r="A700" s="59" t="s">
        <v>141</v>
      </c>
      <c r="B700" s="114">
        <v>42887</v>
      </c>
      <c r="C700" s="183">
        <v>43560</v>
      </c>
      <c r="D700" s="197">
        <v>10</v>
      </c>
      <c r="E700" s="174"/>
      <c r="F700" s="174">
        <v>2033.62</v>
      </c>
      <c r="G700" s="174"/>
      <c r="H700" s="126">
        <f t="shared" si="56"/>
        <v>2033.62</v>
      </c>
      <c r="I700" s="126">
        <v>2033.62</v>
      </c>
      <c r="J700" s="136"/>
      <c r="K700" s="136"/>
      <c r="L700" s="204"/>
    </row>
    <row r="701" spans="1:12" s="27" customFormat="1" ht="36" customHeight="1" outlineLevel="1" x14ac:dyDescent="0.2">
      <c r="A701" s="59" t="s">
        <v>142</v>
      </c>
      <c r="B701" s="114">
        <v>42826</v>
      </c>
      <c r="C701" s="183">
        <v>43455</v>
      </c>
      <c r="D701" s="197">
        <v>10</v>
      </c>
      <c r="E701" s="174"/>
      <c r="F701" s="174">
        <v>2542.9699999999998</v>
      </c>
      <c r="G701" s="174"/>
      <c r="H701" s="126">
        <f t="shared" si="56"/>
        <v>2542.9699999999998</v>
      </c>
      <c r="I701" s="126">
        <v>2542.9699999999998</v>
      </c>
      <c r="J701" s="136"/>
      <c r="K701" s="136"/>
      <c r="L701" s="204"/>
    </row>
    <row r="702" spans="1:12" s="27" customFormat="1" ht="33" customHeight="1" outlineLevel="1" x14ac:dyDescent="0.2">
      <c r="A702" s="59" t="s">
        <v>1145</v>
      </c>
      <c r="B702" s="114">
        <v>43252</v>
      </c>
      <c r="C702" s="183">
        <v>44041</v>
      </c>
      <c r="D702" s="197">
        <v>10</v>
      </c>
      <c r="E702" s="174"/>
      <c r="F702" s="174">
        <v>16247.71</v>
      </c>
      <c r="G702" s="174"/>
      <c r="H702" s="126">
        <f t="shared" si="56"/>
        <v>16247.71</v>
      </c>
      <c r="I702" s="126">
        <v>16247.71</v>
      </c>
      <c r="J702" s="136"/>
      <c r="K702" s="136"/>
      <c r="L702" s="204"/>
    </row>
    <row r="703" spans="1:12" s="27" customFormat="1" outlineLevel="1" x14ac:dyDescent="0.2">
      <c r="A703" s="59" t="s">
        <v>477</v>
      </c>
      <c r="B703" s="114">
        <v>43101</v>
      </c>
      <c r="C703" s="183">
        <v>43377</v>
      </c>
      <c r="D703" s="197">
        <v>10</v>
      </c>
      <c r="E703" s="174"/>
      <c r="F703" s="174">
        <v>2361.31</v>
      </c>
      <c r="G703" s="174"/>
      <c r="H703" s="126">
        <f t="shared" si="56"/>
        <v>2361.31</v>
      </c>
      <c r="I703" s="126">
        <v>2361.31</v>
      </c>
      <c r="J703" s="136"/>
      <c r="K703" s="136"/>
      <c r="L703" s="204"/>
    </row>
    <row r="704" spans="1:12" s="27" customFormat="1" ht="35.25" customHeight="1" outlineLevel="1" x14ac:dyDescent="0.2">
      <c r="A704" s="59" t="s">
        <v>1146</v>
      </c>
      <c r="B704" s="114">
        <v>43252</v>
      </c>
      <c r="C704" s="183">
        <v>43475</v>
      </c>
      <c r="D704" s="197">
        <v>10</v>
      </c>
      <c r="E704" s="174"/>
      <c r="F704" s="174">
        <v>1048.54</v>
      </c>
      <c r="G704" s="174"/>
      <c r="H704" s="126">
        <f t="shared" si="56"/>
        <v>1048.54</v>
      </c>
      <c r="I704" s="126">
        <v>1048.54</v>
      </c>
      <c r="J704" s="136"/>
      <c r="K704" s="136"/>
      <c r="L704" s="204"/>
    </row>
    <row r="705" spans="1:12" s="27" customFormat="1" ht="32.25" customHeight="1" outlineLevel="1" x14ac:dyDescent="0.2">
      <c r="A705" s="59" t="s">
        <v>478</v>
      </c>
      <c r="B705" s="114">
        <v>43101</v>
      </c>
      <c r="C705" s="183">
        <v>43356</v>
      </c>
      <c r="D705" s="197">
        <v>10</v>
      </c>
      <c r="E705" s="174"/>
      <c r="F705" s="174">
        <v>2361.31</v>
      </c>
      <c r="G705" s="174"/>
      <c r="H705" s="126">
        <f t="shared" si="56"/>
        <v>2361.31</v>
      </c>
      <c r="I705" s="126">
        <v>2361.31</v>
      </c>
      <c r="J705" s="136"/>
      <c r="K705" s="136"/>
      <c r="L705" s="204"/>
    </row>
    <row r="706" spans="1:12" s="27" customFormat="1" ht="32.25" customHeight="1" outlineLevel="1" x14ac:dyDescent="0.2">
      <c r="A706" s="59" t="s">
        <v>1147</v>
      </c>
      <c r="B706" s="114">
        <v>43252</v>
      </c>
      <c r="C706" s="183">
        <v>43349</v>
      </c>
      <c r="D706" s="197">
        <v>10</v>
      </c>
      <c r="E706" s="174"/>
      <c r="F706" s="174">
        <v>1390.9</v>
      </c>
      <c r="G706" s="174"/>
      <c r="H706" s="126">
        <f t="shared" si="56"/>
        <v>1390.9</v>
      </c>
      <c r="I706" s="126">
        <v>1390.9</v>
      </c>
      <c r="J706" s="136"/>
      <c r="K706" s="136"/>
      <c r="L706" s="204"/>
    </row>
    <row r="707" spans="1:12" s="27" customFormat="1" ht="27.75" customHeight="1" outlineLevel="1" x14ac:dyDescent="0.2">
      <c r="A707" s="59" t="s">
        <v>479</v>
      </c>
      <c r="B707" s="114">
        <v>43132</v>
      </c>
      <c r="C707" s="183">
        <v>43474</v>
      </c>
      <c r="D707" s="197">
        <v>10</v>
      </c>
      <c r="E707" s="174"/>
      <c r="F707" s="174">
        <v>1985.24</v>
      </c>
      <c r="G707" s="174"/>
      <c r="H707" s="126">
        <f t="shared" si="56"/>
        <v>1985.24</v>
      </c>
      <c r="I707" s="126">
        <v>1985.24</v>
      </c>
      <c r="J707" s="136"/>
      <c r="K707" s="136"/>
      <c r="L707" s="204"/>
    </row>
    <row r="708" spans="1:12" s="27" customFormat="1" ht="21.75" customHeight="1" outlineLevel="1" x14ac:dyDescent="0.2">
      <c r="A708" s="59" t="s">
        <v>480</v>
      </c>
      <c r="B708" s="114">
        <v>43101</v>
      </c>
      <c r="C708" s="183">
        <v>43349</v>
      </c>
      <c r="D708" s="197">
        <v>10</v>
      </c>
      <c r="E708" s="174"/>
      <c r="F708" s="174">
        <v>2361.31</v>
      </c>
      <c r="G708" s="174"/>
      <c r="H708" s="126">
        <f t="shared" si="56"/>
        <v>2361.31</v>
      </c>
      <c r="I708" s="126">
        <v>2361.31</v>
      </c>
      <c r="J708" s="136"/>
      <c r="K708" s="136"/>
      <c r="L708" s="204"/>
    </row>
    <row r="709" spans="1:12" s="27" customFormat="1" ht="35.25" customHeight="1" outlineLevel="1" x14ac:dyDescent="0.2">
      <c r="A709" s="59" t="s">
        <v>313</v>
      </c>
      <c r="B709" s="114">
        <v>43070</v>
      </c>
      <c r="C709" s="183">
        <v>43374</v>
      </c>
      <c r="D709" s="197">
        <v>10</v>
      </c>
      <c r="E709" s="174"/>
      <c r="F709" s="174">
        <v>1543.3</v>
      </c>
      <c r="G709" s="174"/>
      <c r="H709" s="126">
        <f t="shared" si="56"/>
        <v>1543.3</v>
      </c>
      <c r="I709" s="126">
        <v>1543.3</v>
      </c>
      <c r="J709" s="136"/>
      <c r="K709" s="136"/>
      <c r="L709" s="204"/>
    </row>
    <row r="710" spans="1:12" s="27" customFormat="1" ht="35.25" customHeight="1" outlineLevel="1" x14ac:dyDescent="0.2">
      <c r="A710" s="59" t="s">
        <v>1148</v>
      </c>
      <c r="B710" s="114">
        <v>43221</v>
      </c>
      <c r="C710" s="183">
        <v>43405</v>
      </c>
      <c r="D710" s="197">
        <v>10</v>
      </c>
      <c r="E710" s="174"/>
      <c r="F710" s="174">
        <v>1112.22</v>
      </c>
      <c r="G710" s="174"/>
      <c r="H710" s="126">
        <f t="shared" si="56"/>
        <v>1112.22</v>
      </c>
      <c r="I710" s="126">
        <v>1112.22</v>
      </c>
      <c r="J710" s="136"/>
      <c r="K710" s="136"/>
      <c r="L710" s="204"/>
    </row>
    <row r="711" spans="1:12" s="27" customFormat="1" ht="35.25" customHeight="1" outlineLevel="1" x14ac:dyDescent="0.2">
      <c r="A711" s="59" t="s">
        <v>1149</v>
      </c>
      <c r="B711" s="114">
        <v>43252</v>
      </c>
      <c r="C711" s="183">
        <v>43461</v>
      </c>
      <c r="D711" s="197">
        <v>10</v>
      </c>
      <c r="E711" s="174"/>
      <c r="F711" s="174">
        <v>1390.9</v>
      </c>
      <c r="G711" s="174"/>
      <c r="H711" s="126">
        <f t="shared" si="56"/>
        <v>1390.9</v>
      </c>
      <c r="I711" s="126">
        <v>1390.9</v>
      </c>
      <c r="J711" s="136"/>
      <c r="K711" s="136"/>
      <c r="L711" s="204"/>
    </row>
    <row r="712" spans="1:12" s="27" customFormat="1" ht="35.25" customHeight="1" outlineLevel="1" x14ac:dyDescent="0.2">
      <c r="A712" s="59" t="s">
        <v>1150</v>
      </c>
      <c r="B712" s="114">
        <v>43252</v>
      </c>
      <c r="C712" s="183">
        <v>43482</v>
      </c>
      <c r="D712" s="197">
        <v>10</v>
      </c>
      <c r="E712" s="174"/>
      <c r="F712" s="174">
        <v>574.91</v>
      </c>
      <c r="G712" s="174"/>
      <c r="H712" s="126">
        <f t="shared" si="56"/>
        <v>574.91</v>
      </c>
      <c r="I712" s="126">
        <v>574.91</v>
      </c>
      <c r="J712" s="136"/>
      <c r="K712" s="136"/>
      <c r="L712" s="204"/>
    </row>
    <row r="713" spans="1:12" ht="24" outlineLevel="1" x14ac:dyDescent="0.2">
      <c r="A713" s="59" t="s">
        <v>1151</v>
      </c>
      <c r="B713" s="114">
        <v>43252</v>
      </c>
      <c r="C713" s="183">
        <v>43447</v>
      </c>
      <c r="D713" s="197">
        <v>10</v>
      </c>
      <c r="E713" s="174"/>
      <c r="F713" s="174">
        <v>1457.92</v>
      </c>
      <c r="G713" s="174"/>
      <c r="H713" s="126">
        <f t="shared" si="56"/>
        <v>1457.92</v>
      </c>
      <c r="I713" s="126">
        <v>1457.92</v>
      </c>
      <c r="J713" s="136"/>
      <c r="K713" s="136"/>
      <c r="L713" s="201"/>
    </row>
    <row r="714" spans="1:12" s="27" customFormat="1" ht="24" outlineLevel="1" x14ac:dyDescent="0.2">
      <c r="A714" s="59" t="s">
        <v>1152</v>
      </c>
      <c r="B714" s="114">
        <v>43252</v>
      </c>
      <c r="C714" s="183">
        <v>43447</v>
      </c>
      <c r="D714" s="197">
        <v>10</v>
      </c>
      <c r="E714" s="174"/>
      <c r="F714" s="174">
        <v>1048.54</v>
      </c>
      <c r="G714" s="174"/>
      <c r="H714" s="126">
        <f t="shared" si="56"/>
        <v>1048.54</v>
      </c>
      <c r="I714" s="126">
        <v>1048.54</v>
      </c>
      <c r="J714" s="136"/>
      <c r="K714" s="136"/>
      <c r="L714" s="204"/>
    </row>
    <row r="715" spans="1:12" s="27" customFormat="1" ht="35.25" customHeight="1" outlineLevel="1" x14ac:dyDescent="0.2">
      <c r="A715" s="59" t="s">
        <v>1153</v>
      </c>
      <c r="B715" s="114">
        <v>43252</v>
      </c>
      <c r="C715" s="183">
        <v>43469</v>
      </c>
      <c r="D715" s="197">
        <v>10</v>
      </c>
      <c r="E715" s="174"/>
      <c r="F715" s="174">
        <v>2848.82</v>
      </c>
      <c r="G715" s="174"/>
      <c r="H715" s="126">
        <f t="shared" si="56"/>
        <v>2848.82</v>
      </c>
      <c r="I715" s="126">
        <v>2848.82</v>
      </c>
      <c r="J715" s="136"/>
      <c r="K715" s="136"/>
      <c r="L715" s="204"/>
    </row>
    <row r="716" spans="1:12" s="27" customFormat="1" ht="35.25" customHeight="1" outlineLevel="1" x14ac:dyDescent="0.2">
      <c r="A716" s="59" t="s">
        <v>481</v>
      </c>
      <c r="B716" s="114">
        <v>43160</v>
      </c>
      <c r="C716" s="183">
        <v>43431</v>
      </c>
      <c r="D716" s="197">
        <v>10</v>
      </c>
      <c r="E716" s="174"/>
      <c r="F716" s="174">
        <v>5122.96</v>
      </c>
      <c r="G716" s="174"/>
      <c r="H716" s="126">
        <f t="shared" si="56"/>
        <v>5122.96</v>
      </c>
      <c r="I716" s="126">
        <v>5122.96</v>
      </c>
      <c r="J716" s="136"/>
      <c r="K716" s="136"/>
      <c r="L716" s="204"/>
    </row>
    <row r="717" spans="1:12" s="27" customFormat="1" ht="35.25" customHeight="1" outlineLevel="1" x14ac:dyDescent="0.2">
      <c r="A717" s="59" t="s">
        <v>1154</v>
      </c>
      <c r="B717" s="114">
        <v>43251</v>
      </c>
      <c r="C717" s="183">
        <v>43508</v>
      </c>
      <c r="D717" s="197">
        <v>10</v>
      </c>
      <c r="E717" s="174"/>
      <c r="F717" s="174">
        <v>1655.75</v>
      </c>
      <c r="G717" s="174"/>
      <c r="H717" s="126">
        <f t="shared" si="56"/>
        <v>1655.75</v>
      </c>
      <c r="I717" s="126">
        <v>1655.75</v>
      </c>
      <c r="J717" s="136"/>
      <c r="K717" s="136"/>
      <c r="L717" s="204"/>
    </row>
    <row r="718" spans="1:12" s="27" customFormat="1" ht="35.25" customHeight="1" outlineLevel="1" x14ac:dyDescent="0.2">
      <c r="A718" s="59" t="s">
        <v>1155</v>
      </c>
      <c r="B718" s="114">
        <v>43252</v>
      </c>
      <c r="C718" s="183">
        <v>43439</v>
      </c>
      <c r="D718" s="197">
        <v>10</v>
      </c>
      <c r="E718" s="174"/>
      <c r="F718" s="174">
        <v>1457.92</v>
      </c>
      <c r="G718" s="174"/>
      <c r="H718" s="126">
        <f t="shared" si="56"/>
        <v>1457.92</v>
      </c>
      <c r="I718" s="126">
        <v>1457.92</v>
      </c>
      <c r="J718" s="136"/>
      <c r="K718" s="136"/>
      <c r="L718" s="204"/>
    </row>
    <row r="719" spans="1:12" s="27" customFormat="1" ht="31.5" customHeight="1" outlineLevel="1" x14ac:dyDescent="0.2">
      <c r="A719" s="59" t="s">
        <v>482</v>
      </c>
      <c r="B719" s="114">
        <v>43132</v>
      </c>
      <c r="C719" s="183">
        <v>43356</v>
      </c>
      <c r="D719" s="197">
        <v>10</v>
      </c>
      <c r="E719" s="174"/>
      <c r="F719" s="174">
        <v>1985.26</v>
      </c>
      <c r="G719" s="174"/>
      <c r="H719" s="126">
        <f t="shared" si="56"/>
        <v>1985.26</v>
      </c>
      <c r="I719" s="126">
        <v>1985.26</v>
      </c>
      <c r="J719" s="136"/>
      <c r="K719" s="136"/>
      <c r="L719" s="204"/>
    </row>
    <row r="720" spans="1:12" s="27" customFormat="1" ht="31.5" customHeight="1" outlineLevel="1" x14ac:dyDescent="0.2">
      <c r="A720" s="59" t="s">
        <v>483</v>
      </c>
      <c r="B720" s="114">
        <v>43132</v>
      </c>
      <c r="C720" s="183">
        <v>43369</v>
      </c>
      <c r="D720" s="197">
        <v>10</v>
      </c>
      <c r="E720" s="174"/>
      <c r="F720" s="174">
        <v>1985.24</v>
      </c>
      <c r="G720" s="174"/>
      <c r="H720" s="126">
        <f t="shared" si="56"/>
        <v>1985.24</v>
      </c>
      <c r="I720" s="126">
        <v>1985.24</v>
      </c>
      <c r="J720" s="136"/>
      <c r="K720" s="136"/>
      <c r="L720" s="204"/>
    </row>
    <row r="721" spans="1:12" s="27" customFormat="1" ht="30" customHeight="1" outlineLevel="1" x14ac:dyDescent="0.2">
      <c r="A721" s="59" t="s">
        <v>314</v>
      </c>
      <c r="B721" s="114">
        <v>43070</v>
      </c>
      <c r="C721" s="183">
        <v>43361</v>
      </c>
      <c r="D721" s="197">
        <v>10</v>
      </c>
      <c r="E721" s="174"/>
      <c r="F721" s="174">
        <v>1543.3</v>
      </c>
      <c r="G721" s="174"/>
      <c r="H721" s="126">
        <f t="shared" si="56"/>
        <v>1543.3</v>
      </c>
      <c r="I721" s="126">
        <v>1543.3</v>
      </c>
      <c r="J721" s="136"/>
      <c r="K721" s="136"/>
      <c r="L721" s="204"/>
    </row>
    <row r="722" spans="1:12" s="4" customFormat="1" ht="25.5" customHeight="1" outlineLevel="1" x14ac:dyDescent="0.2">
      <c r="A722" s="59" t="s">
        <v>118</v>
      </c>
      <c r="B722" s="114">
        <v>43070</v>
      </c>
      <c r="C722" s="183">
        <v>43398</v>
      </c>
      <c r="D722" s="197">
        <v>10</v>
      </c>
      <c r="E722" s="174"/>
      <c r="F722" s="174">
        <v>3483.24</v>
      </c>
      <c r="G722" s="174"/>
      <c r="H722" s="126">
        <f t="shared" si="56"/>
        <v>3483.24</v>
      </c>
      <c r="I722" s="126">
        <v>3483.24</v>
      </c>
      <c r="J722" s="136"/>
      <c r="K722" s="136"/>
      <c r="L722" s="215"/>
    </row>
    <row r="723" spans="1:12" s="27" customFormat="1" ht="31.5" customHeight="1" outlineLevel="1" x14ac:dyDescent="0.2">
      <c r="A723" s="59" t="s">
        <v>143</v>
      </c>
      <c r="B723" s="114">
        <v>43435</v>
      </c>
      <c r="C723" s="183">
        <v>43560</v>
      </c>
      <c r="D723" s="197">
        <v>10</v>
      </c>
      <c r="E723" s="174"/>
      <c r="F723" s="174">
        <v>4590.3999999999996</v>
      </c>
      <c r="G723" s="174"/>
      <c r="H723" s="126">
        <f t="shared" si="56"/>
        <v>4590.3999999999996</v>
      </c>
      <c r="I723" s="126">
        <v>4590.3999999999996</v>
      </c>
      <c r="J723" s="136"/>
      <c r="K723" s="136"/>
      <c r="L723" s="204"/>
    </row>
    <row r="724" spans="1:12" s="27" customFormat="1" ht="31.5" customHeight="1" outlineLevel="1" x14ac:dyDescent="0.2">
      <c r="A724" s="59" t="s">
        <v>484</v>
      </c>
      <c r="B724" s="114">
        <v>43160</v>
      </c>
      <c r="C724" s="183">
        <v>43403</v>
      </c>
      <c r="D724" s="197">
        <v>10</v>
      </c>
      <c r="E724" s="174"/>
      <c r="F724" s="174">
        <v>1733.63</v>
      </c>
      <c r="G724" s="174"/>
      <c r="H724" s="126">
        <f t="shared" si="56"/>
        <v>1733.63</v>
      </c>
      <c r="I724" s="126">
        <v>1733.63</v>
      </c>
      <c r="J724" s="136"/>
      <c r="K724" s="136"/>
      <c r="L724" s="204"/>
    </row>
    <row r="725" spans="1:12" s="4" customFormat="1" ht="37.5" customHeight="1" outlineLevel="1" x14ac:dyDescent="0.2">
      <c r="A725" s="59" t="s">
        <v>315</v>
      </c>
      <c r="B725" s="114">
        <v>43070</v>
      </c>
      <c r="C725" s="183">
        <v>43369</v>
      </c>
      <c r="D725" s="197">
        <v>10</v>
      </c>
      <c r="E725" s="174"/>
      <c r="F725" s="174">
        <v>3528.54</v>
      </c>
      <c r="G725" s="174"/>
      <c r="H725" s="126">
        <f t="shared" si="56"/>
        <v>3528.54</v>
      </c>
      <c r="I725" s="126">
        <v>3528.54</v>
      </c>
      <c r="J725" s="136"/>
      <c r="K725" s="136"/>
      <c r="L725" s="215"/>
    </row>
    <row r="726" spans="1:12" s="27" customFormat="1" ht="31.5" customHeight="1" outlineLevel="1" x14ac:dyDescent="0.2">
      <c r="A726" s="59" t="s">
        <v>1156</v>
      </c>
      <c r="B726" s="114">
        <v>43191</v>
      </c>
      <c r="C726" s="183">
        <v>43405</v>
      </c>
      <c r="D726" s="197">
        <v>10</v>
      </c>
      <c r="E726" s="174"/>
      <c r="F726" s="174">
        <v>1391.38</v>
      </c>
      <c r="G726" s="174"/>
      <c r="H726" s="126">
        <f t="shared" si="56"/>
        <v>1391.38</v>
      </c>
      <c r="I726" s="126">
        <v>1391.38</v>
      </c>
      <c r="J726" s="136"/>
      <c r="K726" s="136"/>
      <c r="L726" s="204"/>
    </row>
    <row r="727" spans="1:12" s="27" customFormat="1" ht="31.5" customHeight="1" outlineLevel="1" x14ac:dyDescent="0.2">
      <c r="A727" s="59" t="s">
        <v>316</v>
      </c>
      <c r="B727" s="114">
        <v>43040</v>
      </c>
      <c r="C727" s="183">
        <v>43351</v>
      </c>
      <c r="D727" s="197">
        <v>10</v>
      </c>
      <c r="E727" s="174"/>
      <c r="F727" s="174">
        <v>1806.24</v>
      </c>
      <c r="G727" s="174"/>
      <c r="H727" s="126">
        <f t="shared" si="56"/>
        <v>1806.24</v>
      </c>
      <c r="I727" s="126">
        <v>1806.24</v>
      </c>
      <c r="J727" s="136"/>
      <c r="K727" s="136"/>
      <c r="L727" s="204"/>
    </row>
    <row r="728" spans="1:12" s="27" customFormat="1" ht="31.5" customHeight="1" outlineLevel="1" x14ac:dyDescent="0.2">
      <c r="A728" s="59" t="s">
        <v>1157</v>
      </c>
      <c r="B728" s="114">
        <v>43221</v>
      </c>
      <c r="C728" s="183">
        <v>43772</v>
      </c>
      <c r="D728" s="197">
        <v>10</v>
      </c>
      <c r="E728" s="174"/>
      <c r="F728" s="174">
        <v>1655.72</v>
      </c>
      <c r="G728" s="174"/>
      <c r="H728" s="126">
        <f t="shared" si="56"/>
        <v>1655.72</v>
      </c>
      <c r="I728" s="126">
        <v>1655.72</v>
      </c>
      <c r="J728" s="136"/>
      <c r="K728" s="136"/>
      <c r="L728" s="204"/>
    </row>
    <row r="729" spans="1:12" s="27" customFormat="1" ht="31.5" customHeight="1" outlineLevel="1" x14ac:dyDescent="0.2">
      <c r="A729" s="59" t="s">
        <v>144</v>
      </c>
      <c r="B729" s="114">
        <v>42856</v>
      </c>
      <c r="C729" s="183">
        <v>43379</v>
      </c>
      <c r="D729" s="197">
        <v>10</v>
      </c>
      <c r="E729" s="174"/>
      <c r="F729" s="174">
        <v>1645.92</v>
      </c>
      <c r="G729" s="174"/>
      <c r="H729" s="126">
        <f t="shared" si="56"/>
        <v>1645.92</v>
      </c>
      <c r="I729" s="126">
        <v>1645.92</v>
      </c>
      <c r="J729" s="136"/>
      <c r="K729" s="136"/>
      <c r="L729" s="204"/>
    </row>
    <row r="730" spans="1:12" s="27" customFormat="1" ht="31.5" customHeight="1" outlineLevel="1" x14ac:dyDescent="0.2">
      <c r="A730" s="59" t="s">
        <v>145</v>
      </c>
      <c r="B730" s="114">
        <v>42979</v>
      </c>
      <c r="C730" s="183">
        <v>43623</v>
      </c>
      <c r="D730" s="197">
        <v>10</v>
      </c>
      <c r="E730" s="174"/>
      <c r="F730" s="174">
        <v>49065.85</v>
      </c>
      <c r="G730" s="174"/>
      <c r="H730" s="126">
        <f t="shared" si="56"/>
        <v>49065.85</v>
      </c>
      <c r="I730" s="126">
        <v>49065.85</v>
      </c>
      <c r="J730" s="136"/>
      <c r="K730" s="136"/>
      <c r="L730" s="204"/>
    </row>
    <row r="731" spans="1:12" s="27" customFormat="1" ht="31.5" customHeight="1" outlineLevel="1" x14ac:dyDescent="0.2">
      <c r="A731" s="59" t="s">
        <v>1158</v>
      </c>
      <c r="B731" s="114">
        <v>43252</v>
      </c>
      <c r="C731" s="183">
        <v>43488</v>
      </c>
      <c r="D731" s="197">
        <v>10</v>
      </c>
      <c r="E731" s="174"/>
      <c r="F731" s="174">
        <v>1390.9</v>
      </c>
      <c r="G731" s="174"/>
      <c r="H731" s="126">
        <f t="shared" si="56"/>
        <v>1390.9</v>
      </c>
      <c r="I731" s="126">
        <v>1390.9</v>
      </c>
      <c r="J731" s="136"/>
      <c r="K731" s="136"/>
      <c r="L731" s="204"/>
    </row>
    <row r="732" spans="1:12" s="27" customFormat="1" ht="31.5" customHeight="1" outlineLevel="1" x14ac:dyDescent="0.2">
      <c r="A732" s="59" t="s">
        <v>485</v>
      </c>
      <c r="B732" s="114">
        <v>43132</v>
      </c>
      <c r="C732" s="183">
        <v>43142</v>
      </c>
      <c r="D732" s="197">
        <v>10</v>
      </c>
      <c r="E732" s="174"/>
      <c r="F732" s="174">
        <v>3970.48</v>
      </c>
      <c r="G732" s="174"/>
      <c r="H732" s="126">
        <f t="shared" si="56"/>
        <v>3970.48</v>
      </c>
      <c r="I732" s="126">
        <v>3970.48</v>
      </c>
      <c r="J732" s="136"/>
      <c r="K732" s="136"/>
      <c r="L732" s="204"/>
    </row>
    <row r="733" spans="1:12" s="27" customFormat="1" ht="31.5" customHeight="1" outlineLevel="1" x14ac:dyDescent="0.2">
      <c r="A733" s="59" t="s">
        <v>146</v>
      </c>
      <c r="B733" s="114">
        <v>42948</v>
      </c>
      <c r="C733" s="183">
        <v>43576</v>
      </c>
      <c r="D733" s="197">
        <v>10</v>
      </c>
      <c r="E733" s="174">
        <v>37.97</v>
      </c>
      <c r="F733" s="174">
        <v>16959.560000000001</v>
      </c>
      <c r="G733" s="174"/>
      <c r="H733" s="126">
        <f t="shared" si="56"/>
        <v>16997.530000000002</v>
      </c>
      <c r="I733" s="126">
        <v>16997.53</v>
      </c>
      <c r="J733" s="136"/>
      <c r="K733" s="136"/>
      <c r="L733" s="204"/>
    </row>
    <row r="734" spans="1:12" s="27" customFormat="1" ht="31.5" customHeight="1" outlineLevel="1" x14ac:dyDescent="0.2">
      <c r="A734" s="59" t="s">
        <v>124</v>
      </c>
      <c r="B734" s="114">
        <v>43132</v>
      </c>
      <c r="C734" s="183">
        <v>43405</v>
      </c>
      <c r="D734" s="197">
        <v>10</v>
      </c>
      <c r="E734" s="174"/>
      <c r="F734" s="174">
        <v>7502.63</v>
      </c>
      <c r="G734" s="174"/>
      <c r="H734" s="126">
        <f t="shared" si="56"/>
        <v>7502.63</v>
      </c>
      <c r="I734" s="126">
        <v>7502.63</v>
      </c>
      <c r="J734" s="136"/>
      <c r="K734" s="136"/>
      <c r="L734" s="204"/>
    </row>
    <row r="735" spans="1:12" s="27" customFormat="1" ht="31.5" customHeight="1" outlineLevel="1" x14ac:dyDescent="0.2">
      <c r="A735" s="59" t="s">
        <v>1159</v>
      </c>
      <c r="B735" s="114">
        <v>43252</v>
      </c>
      <c r="C735" s="183">
        <v>43431</v>
      </c>
      <c r="D735" s="197">
        <v>10</v>
      </c>
      <c r="E735" s="174"/>
      <c r="F735" s="174">
        <v>1390.9</v>
      </c>
      <c r="G735" s="174"/>
      <c r="H735" s="126">
        <f t="shared" si="56"/>
        <v>1390.9</v>
      </c>
      <c r="I735" s="126">
        <v>1390.9</v>
      </c>
      <c r="J735" s="136"/>
      <c r="K735" s="136"/>
      <c r="L735" s="204"/>
    </row>
    <row r="736" spans="1:12" s="27" customFormat="1" ht="31.5" customHeight="1" outlineLevel="1" x14ac:dyDescent="0.2">
      <c r="A736" s="59" t="s">
        <v>486</v>
      </c>
      <c r="B736" s="114">
        <v>43132</v>
      </c>
      <c r="C736" s="183">
        <v>43379</v>
      </c>
      <c r="D736" s="197">
        <v>10</v>
      </c>
      <c r="E736" s="174"/>
      <c r="F736" s="174">
        <v>1992.63</v>
      </c>
      <c r="G736" s="174"/>
      <c r="H736" s="126">
        <f t="shared" si="56"/>
        <v>1992.63</v>
      </c>
      <c r="I736" s="126">
        <v>1992.63</v>
      </c>
      <c r="J736" s="136"/>
      <c r="K736" s="136"/>
      <c r="L736" s="204"/>
    </row>
    <row r="737" spans="1:12" s="27" customFormat="1" ht="48" customHeight="1" outlineLevel="1" x14ac:dyDescent="0.2">
      <c r="A737" s="59" t="s">
        <v>487</v>
      </c>
      <c r="B737" s="114">
        <v>43252</v>
      </c>
      <c r="C737" s="183">
        <v>43431</v>
      </c>
      <c r="D737" s="197">
        <v>10</v>
      </c>
      <c r="E737" s="174"/>
      <c r="F737" s="174">
        <v>2781.8</v>
      </c>
      <c r="G737" s="174"/>
      <c r="H737" s="126">
        <f t="shared" si="56"/>
        <v>2781.8</v>
      </c>
      <c r="I737" s="126">
        <v>2781.8</v>
      </c>
      <c r="J737" s="136"/>
      <c r="K737" s="136"/>
      <c r="L737" s="204"/>
    </row>
    <row r="738" spans="1:12" s="27" customFormat="1" ht="31.5" customHeight="1" outlineLevel="1" x14ac:dyDescent="0.2">
      <c r="A738" s="59" t="s">
        <v>1160</v>
      </c>
      <c r="B738" s="114">
        <v>43252</v>
      </c>
      <c r="C738" s="183">
        <v>43510</v>
      </c>
      <c r="D738" s="197">
        <v>10</v>
      </c>
      <c r="E738" s="174"/>
      <c r="F738" s="174">
        <v>1457.92</v>
      </c>
      <c r="G738" s="174"/>
      <c r="H738" s="126">
        <f t="shared" si="56"/>
        <v>1457.92</v>
      </c>
      <c r="I738" s="126">
        <v>1457.92</v>
      </c>
      <c r="J738" s="136"/>
      <c r="K738" s="136"/>
      <c r="L738" s="204"/>
    </row>
    <row r="739" spans="1:12" s="27" customFormat="1" ht="31.5" customHeight="1" outlineLevel="1" x14ac:dyDescent="0.2">
      <c r="A739" s="59" t="s">
        <v>1161</v>
      </c>
      <c r="B739" s="114">
        <v>43252</v>
      </c>
      <c r="C739" s="183">
        <v>43116</v>
      </c>
      <c r="D739" s="197">
        <v>10</v>
      </c>
      <c r="E739" s="174"/>
      <c r="F739" s="174">
        <v>1457.92</v>
      </c>
      <c r="G739" s="174"/>
      <c r="H739" s="126">
        <f t="shared" si="56"/>
        <v>1457.92</v>
      </c>
      <c r="I739" s="126">
        <v>1457.92</v>
      </c>
      <c r="J739" s="136"/>
      <c r="K739" s="136"/>
      <c r="L739" s="204"/>
    </row>
    <row r="740" spans="1:12" s="27" customFormat="1" ht="55.5" customHeight="1" outlineLevel="1" x14ac:dyDescent="0.2">
      <c r="A740" s="59" t="s">
        <v>488</v>
      </c>
      <c r="B740" s="114">
        <v>43101</v>
      </c>
      <c r="C740" s="183">
        <v>43356</v>
      </c>
      <c r="D740" s="197">
        <v>10</v>
      </c>
      <c r="E740" s="174"/>
      <c r="F740" s="174">
        <v>2361.31</v>
      </c>
      <c r="G740" s="174"/>
      <c r="H740" s="126">
        <f t="shared" si="56"/>
        <v>2361.31</v>
      </c>
      <c r="I740" s="126">
        <v>2361.31</v>
      </c>
      <c r="J740" s="136"/>
      <c r="K740" s="136"/>
      <c r="L740" s="204"/>
    </row>
    <row r="741" spans="1:12" s="27" customFormat="1" ht="46.5" customHeight="1" outlineLevel="1" x14ac:dyDescent="0.2">
      <c r="A741" s="59" t="s">
        <v>489</v>
      </c>
      <c r="B741" s="114">
        <v>43160</v>
      </c>
      <c r="C741" s="183">
        <v>43300</v>
      </c>
      <c r="D741" s="197">
        <v>10</v>
      </c>
      <c r="E741" s="174"/>
      <c r="F741" s="174">
        <v>1733.63</v>
      </c>
      <c r="G741" s="174"/>
      <c r="H741" s="126">
        <f t="shared" si="56"/>
        <v>1733.63</v>
      </c>
      <c r="I741" s="126">
        <v>1733.63</v>
      </c>
      <c r="J741" s="136"/>
      <c r="K741" s="136"/>
      <c r="L741" s="204"/>
    </row>
    <row r="742" spans="1:12" s="27" customFormat="1" ht="31.5" customHeight="1" outlineLevel="1" x14ac:dyDescent="0.2">
      <c r="A742" s="59" t="s">
        <v>1162</v>
      </c>
      <c r="B742" s="114">
        <v>43252</v>
      </c>
      <c r="C742" s="183">
        <v>43691</v>
      </c>
      <c r="D742" s="197">
        <v>10</v>
      </c>
      <c r="E742" s="174"/>
      <c r="F742" s="174">
        <v>1457.92</v>
      </c>
      <c r="G742" s="174"/>
      <c r="H742" s="126">
        <f t="shared" si="56"/>
        <v>1457.92</v>
      </c>
      <c r="I742" s="126">
        <v>1457.92</v>
      </c>
      <c r="J742" s="136"/>
      <c r="K742" s="136"/>
      <c r="L742" s="204"/>
    </row>
    <row r="743" spans="1:12" s="27" customFormat="1" ht="45.75" customHeight="1" outlineLevel="1" x14ac:dyDescent="0.2">
      <c r="A743" s="59" t="s">
        <v>317</v>
      </c>
      <c r="B743" s="114">
        <v>43040</v>
      </c>
      <c r="C743" s="183">
        <v>43355</v>
      </c>
      <c r="D743" s="197">
        <v>10</v>
      </c>
      <c r="E743" s="174"/>
      <c r="F743" s="174">
        <v>37033.49</v>
      </c>
      <c r="G743" s="174"/>
      <c r="H743" s="126">
        <f t="shared" si="56"/>
        <v>37033.49</v>
      </c>
      <c r="I743" s="126">
        <v>37033.49</v>
      </c>
      <c r="J743" s="136"/>
      <c r="K743" s="136"/>
      <c r="L743" s="204"/>
    </row>
    <row r="744" spans="1:12" s="27" customFormat="1" ht="31.5" customHeight="1" outlineLevel="1" x14ac:dyDescent="0.2">
      <c r="A744" s="59" t="s">
        <v>318</v>
      </c>
      <c r="B744" s="114">
        <v>43070</v>
      </c>
      <c r="C744" s="183">
        <v>43305</v>
      </c>
      <c r="D744" s="197">
        <v>10</v>
      </c>
      <c r="E744" s="174"/>
      <c r="F744" s="174">
        <v>2212.08</v>
      </c>
      <c r="G744" s="174"/>
      <c r="H744" s="126">
        <f t="shared" si="56"/>
        <v>2212.08</v>
      </c>
      <c r="I744" s="126">
        <v>2212.08</v>
      </c>
      <c r="J744" s="136"/>
      <c r="K744" s="136"/>
      <c r="L744" s="204"/>
    </row>
    <row r="745" spans="1:12" s="27" customFormat="1" ht="31.5" customHeight="1" outlineLevel="1" x14ac:dyDescent="0.2">
      <c r="A745" s="59" t="s">
        <v>319</v>
      </c>
      <c r="B745" s="114">
        <v>43252</v>
      </c>
      <c r="C745" s="183">
        <v>43475</v>
      </c>
      <c r="D745" s="197">
        <v>10</v>
      </c>
      <c r="E745" s="174"/>
      <c r="F745" s="174">
        <v>1048.54</v>
      </c>
      <c r="G745" s="174"/>
      <c r="H745" s="126">
        <f t="shared" si="56"/>
        <v>1048.54</v>
      </c>
      <c r="I745" s="126">
        <v>1048.54</v>
      </c>
      <c r="J745" s="136"/>
      <c r="K745" s="136"/>
      <c r="L745" s="204"/>
    </row>
    <row r="746" spans="1:12" s="27" customFormat="1" ht="31.5" customHeight="1" x14ac:dyDescent="0.2">
      <c r="A746" s="61"/>
      <c r="B746" s="103"/>
      <c r="C746" s="103"/>
      <c r="D746" s="194"/>
      <c r="E746" s="68">
        <f>SUM(E668:E745)</f>
        <v>512676.72</v>
      </c>
      <c r="F746" s="68">
        <f>SUM(F668:F745)</f>
        <v>557434.75999999989</v>
      </c>
      <c r="G746" s="68">
        <f>SUM(G668:G745)</f>
        <v>0</v>
      </c>
      <c r="H746" s="58">
        <f>SUM(H668:H745)</f>
        <v>1070111.4800000009</v>
      </c>
      <c r="I746" s="58">
        <f>SUM(I668:I745)</f>
        <v>1070111.4800000009</v>
      </c>
      <c r="J746" s="81"/>
      <c r="K746" s="149"/>
      <c r="L746" s="204"/>
    </row>
    <row r="747" spans="1:12" s="27" customFormat="1" ht="31.5" customHeight="1" x14ac:dyDescent="0.2">
      <c r="A747" s="44" t="s">
        <v>492</v>
      </c>
      <c r="B747" s="104"/>
      <c r="C747" s="103"/>
      <c r="D747" s="194"/>
      <c r="E747" s="14"/>
      <c r="F747" s="14"/>
      <c r="G747" s="14"/>
      <c r="H747" s="58"/>
      <c r="I747" s="52"/>
      <c r="J747" s="19"/>
      <c r="K747" s="30"/>
      <c r="L747" s="204"/>
    </row>
    <row r="748" spans="1:12" s="27" customFormat="1" ht="25.5" outlineLevel="1" x14ac:dyDescent="0.2">
      <c r="A748" s="155" t="s">
        <v>374</v>
      </c>
      <c r="B748" s="107">
        <v>42846</v>
      </c>
      <c r="C748" s="107">
        <v>43517</v>
      </c>
      <c r="D748" s="198">
        <v>10</v>
      </c>
      <c r="E748" s="122">
        <v>9240</v>
      </c>
      <c r="F748" s="52"/>
      <c r="G748" s="52"/>
      <c r="H748" s="126">
        <v>9240</v>
      </c>
      <c r="I748" s="52">
        <f t="shared" ref="I748:I755" si="57">H748</f>
        <v>9240</v>
      </c>
      <c r="J748" s="156"/>
      <c r="K748" s="157"/>
      <c r="L748" s="204"/>
    </row>
    <row r="749" spans="1:12" s="27" customFormat="1" ht="25.5" outlineLevel="1" x14ac:dyDescent="0.2">
      <c r="A749" s="155" t="s">
        <v>375</v>
      </c>
      <c r="B749" s="107">
        <v>42940</v>
      </c>
      <c r="C749" s="107">
        <v>43501</v>
      </c>
      <c r="D749" s="111">
        <v>80</v>
      </c>
      <c r="E749" s="163">
        <v>6010.51</v>
      </c>
      <c r="F749" s="163">
        <v>23015.67</v>
      </c>
      <c r="G749" s="52"/>
      <c r="H749" s="126">
        <v>29026.18</v>
      </c>
      <c r="I749" s="52">
        <f t="shared" si="57"/>
        <v>29026.18</v>
      </c>
      <c r="J749" s="156"/>
      <c r="K749" s="157"/>
      <c r="L749" s="204"/>
    </row>
    <row r="750" spans="1:12" s="27" customFormat="1" ht="39" customHeight="1" outlineLevel="1" x14ac:dyDescent="0.2">
      <c r="A750" s="155" t="s">
        <v>1163</v>
      </c>
      <c r="B750" s="130" t="s">
        <v>1164</v>
      </c>
      <c r="C750" s="107">
        <v>43374</v>
      </c>
      <c r="D750" s="113">
        <v>80</v>
      </c>
      <c r="E750" s="164">
        <v>11182</v>
      </c>
      <c r="F750" s="122">
        <v>0</v>
      </c>
      <c r="G750" s="164"/>
      <c r="H750" s="126">
        <v>11182</v>
      </c>
      <c r="I750" s="52">
        <f t="shared" si="57"/>
        <v>11182</v>
      </c>
      <c r="J750" s="19"/>
      <c r="K750" s="30"/>
      <c r="L750" s="204"/>
    </row>
    <row r="751" spans="1:12" s="27" customFormat="1" ht="30.75" customHeight="1" outlineLevel="1" x14ac:dyDescent="0.2">
      <c r="A751" s="155" t="s">
        <v>490</v>
      </c>
      <c r="B751" s="114">
        <v>43157</v>
      </c>
      <c r="C751" s="107">
        <v>43495</v>
      </c>
      <c r="D751" s="113">
        <v>10</v>
      </c>
      <c r="E751" s="164">
        <v>18333</v>
      </c>
      <c r="F751" s="122"/>
      <c r="G751" s="164"/>
      <c r="H751" s="126">
        <v>18333</v>
      </c>
      <c r="I751" s="52">
        <f t="shared" si="57"/>
        <v>18333</v>
      </c>
      <c r="J751" s="19"/>
      <c r="K751" s="30"/>
      <c r="L751" s="204"/>
    </row>
    <row r="752" spans="1:12" s="27" customFormat="1" ht="30.75" customHeight="1" outlineLevel="1" x14ac:dyDescent="0.2">
      <c r="A752" s="155" t="s">
        <v>491</v>
      </c>
      <c r="B752" s="114">
        <v>43174</v>
      </c>
      <c r="C752" s="107">
        <v>43431</v>
      </c>
      <c r="D752" s="113">
        <v>10</v>
      </c>
      <c r="E752" s="164">
        <v>10223</v>
      </c>
      <c r="F752" s="122"/>
      <c r="G752" s="164"/>
      <c r="H752" s="126">
        <v>10223</v>
      </c>
      <c r="I752" s="52">
        <f t="shared" si="57"/>
        <v>10223</v>
      </c>
      <c r="J752" s="19"/>
      <c r="K752" s="30"/>
      <c r="L752" s="204"/>
    </row>
    <row r="753" spans="1:12" s="4" customFormat="1" ht="26.25" customHeight="1" outlineLevel="1" x14ac:dyDescent="0.2">
      <c r="A753" s="155" t="s">
        <v>1165</v>
      </c>
      <c r="B753" s="114">
        <v>43157</v>
      </c>
      <c r="C753" s="107">
        <v>43635</v>
      </c>
      <c r="D753" s="113">
        <v>10</v>
      </c>
      <c r="E753" s="164">
        <v>10661</v>
      </c>
      <c r="F753" s="122"/>
      <c r="G753" s="164"/>
      <c r="H753" s="126">
        <v>10661</v>
      </c>
      <c r="I753" s="52">
        <f t="shared" si="57"/>
        <v>10661</v>
      </c>
      <c r="J753" s="19"/>
      <c r="K753" s="30"/>
      <c r="L753" s="215"/>
    </row>
    <row r="754" spans="1:12" s="27" customFormat="1" ht="41.25" customHeight="1" outlineLevel="1" x14ac:dyDescent="0.2">
      <c r="A754" s="155" t="str">
        <f>[1]TDSheet!$A$21</f>
        <v>Г-ввод ул.Колхозная,58,г.Миллерово, к НГ ул.Фурманова,Пенькова,Машиностроителей,г.Миллерово,аренда</v>
      </c>
      <c r="B754" s="114" t="s">
        <v>1166</v>
      </c>
      <c r="C754" s="107">
        <v>43483</v>
      </c>
      <c r="D754" s="113">
        <v>10</v>
      </c>
      <c r="E754" s="164">
        <v>9155</v>
      </c>
      <c r="F754" s="122"/>
      <c r="G754" s="164"/>
      <c r="H754" s="126">
        <v>9155</v>
      </c>
      <c r="I754" s="52">
        <f t="shared" si="57"/>
        <v>9155</v>
      </c>
      <c r="J754" s="19"/>
      <c r="K754" s="30"/>
      <c r="L754" s="204"/>
    </row>
    <row r="755" spans="1:12" s="27" customFormat="1" ht="30.75" customHeight="1" outlineLevel="1" x14ac:dyDescent="0.2">
      <c r="A755" s="158" t="s">
        <v>376</v>
      </c>
      <c r="B755" s="107">
        <v>43046</v>
      </c>
      <c r="C755" s="107">
        <v>43590</v>
      </c>
      <c r="D755" s="113">
        <v>10</v>
      </c>
      <c r="E755" s="164">
        <v>45000</v>
      </c>
      <c r="F755" s="164"/>
      <c r="G755" s="164"/>
      <c r="H755" s="126">
        <v>45000</v>
      </c>
      <c r="I755" s="52">
        <f t="shared" si="57"/>
        <v>45000</v>
      </c>
      <c r="J755" s="19"/>
      <c r="K755" s="30"/>
      <c r="L755" s="204"/>
    </row>
    <row r="756" spans="1:12" s="27" customFormat="1" ht="30.75" customHeight="1" x14ac:dyDescent="0.2">
      <c r="A756" s="35"/>
      <c r="B756" s="103"/>
      <c r="C756" s="103"/>
      <c r="D756" s="194"/>
      <c r="E756" s="68">
        <f>SUM(E748:E755)</f>
        <v>119804.51000000001</v>
      </c>
      <c r="F756" s="68">
        <f>SUM(F748:F755)</f>
        <v>23015.67</v>
      </c>
      <c r="G756" s="68">
        <f>SUM(G753:G755)</f>
        <v>0</v>
      </c>
      <c r="H756" s="58">
        <f>SUM(H748:H755)</f>
        <v>142820.18</v>
      </c>
      <c r="I756" s="58">
        <f>SUM(I748:I755)</f>
        <v>142820.18</v>
      </c>
      <c r="J756" s="56"/>
      <c r="K756" s="30"/>
      <c r="L756" s="204"/>
    </row>
    <row r="757" spans="1:12" s="4" customFormat="1" ht="26.25" customHeight="1" x14ac:dyDescent="0.2">
      <c r="A757" s="44" t="s">
        <v>494</v>
      </c>
      <c r="B757" s="103"/>
      <c r="C757" s="104"/>
      <c r="D757" s="195"/>
      <c r="E757" s="14"/>
      <c r="F757" s="70"/>
      <c r="G757" s="69"/>
      <c r="H757" s="37"/>
      <c r="I757" s="52"/>
      <c r="J757" s="19"/>
      <c r="K757" s="14"/>
      <c r="L757" s="215"/>
    </row>
    <row r="758" spans="1:12" ht="27.75" customHeight="1" outlineLevel="1" x14ac:dyDescent="0.2">
      <c r="A758" s="135" t="s">
        <v>493</v>
      </c>
      <c r="B758" s="180">
        <v>43131</v>
      </c>
      <c r="C758" s="181">
        <v>43403</v>
      </c>
      <c r="D758" s="196">
        <v>10</v>
      </c>
      <c r="E758" s="175"/>
      <c r="F758" s="175">
        <v>5054.74</v>
      </c>
      <c r="G758" s="175"/>
      <c r="H758" s="176">
        <f t="shared" ref="H758:H768" si="58">F758+E758+G758</f>
        <v>5054.74</v>
      </c>
      <c r="I758" s="63">
        <f>H758</f>
        <v>5054.74</v>
      </c>
      <c r="J758" s="19"/>
      <c r="K758" s="30"/>
      <c r="L758" s="201"/>
    </row>
    <row r="759" spans="1:12" outlineLevel="1" x14ac:dyDescent="0.2">
      <c r="A759" s="22" t="s">
        <v>1167</v>
      </c>
      <c r="B759" s="107">
        <v>43281</v>
      </c>
      <c r="C759" s="112">
        <v>43488</v>
      </c>
      <c r="D759" s="113">
        <v>50</v>
      </c>
      <c r="E759" s="164">
        <v>4474</v>
      </c>
      <c r="F759" s="164">
        <v>31498.75</v>
      </c>
      <c r="G759" s="164"/>
      <c r="H759" s="58">
        <f t="shared" si="58"/>
        <v>35972.75</v>
      </c>
      <c r="I759" s="52">
        <f t="shared" ref="I759:I768" si="59">H759</f>
        <v>35972.75</v>
      </c>
      <c r="J759" s="19"/>
      <c r="K759" s="30"/>
      <c r="L759" s="201"/>
    </row>
    <row r="760" spans="1:12" outlineLevel="1" x14ac:dyDescent="0.2">
      <c r="A760" s="22" t="s">
        <v>1168</v>
      </c>
      <c r="B760" s="107">
        <v>43251</v>
      </c>
      <c r="C760" s="112">
        <v>43405</v>
      </c>
      <c r="D760" s="113">
        <v>10</v>
      </c>
      <c r="E760" s="164"/>
      <c r="F760" s="164">
        <v>2862.33</v>
      </c>
      <c r="G760" s="164"/>
      <c r="H760" s="58">
        <f t="shared" si="58"/>
        <v>2862.33</v>
      </c>
      <c r="I760" s="52">
        <f t="shared" si="59"/>
        <v>2862.33</v>
      </c>
      <c r="J760" s="19"/>
      <c r="K760" s="30"/>
      <c r="L760" s="201"/>
    </row>
    <row r="761" spans="1:12" ht="24" outlineLevel="1" x14ac:dyDescent="0.2">
      <c r="A761" s="22" t="s">
        <v>320</v>
      </c>
      <c r="B761" s="107">
        <v>43009</v>
      </c>
      <c r="C761" s="112">
        <v>43525</v>
      </c>
      <c r="D761" s="113">
        <v>88</v>
      </c>
      <c r="E761" s="164">
        <v>27025.23</v>
      </c>
      <c r="F761" s="164">
        <v>131782.76999999999</v>
      </c>
      <c r="G761" s="164"/>
      <c r="H761" s="58">
        <f t="shared" si="58"/>
        <v>158808</v>
      </c>
      <c r="I761" s="52">
        <f t="shared" si="59"/>
        <v>158808</v>
      </c>
      <c r="J761" s="19"/>
      <c r="K761" s="30"/>
      <c r="L761" s="201"/>
    </row>
    <row r="762" spans="1:12" ht="24" outlineLevel="1" x14ac:dyDescent="0.2">
      <c r="A762" s="22" t="s">
        <v>321</v>
      </c>
      <c r="B762" s="107">
        <v>42855</v>
      </c>
      <c r="C762" s="112">
        <v>43386</v>
      </c>
      <c r="D762" s="113">
        <v>88</v>
      </c>
      <c r="E762" s="164">
        <v>4661.21</v>
      </c>
      <c r="F762" s="164">
        <v>25394.75</v>
      </c>
      <c r="G762" s="164"/>
      <c r="H762" s="58">
        <f t="shared" si="58"/>
        <v>30055.96</v>
      </c>
      <c r="I762" s="52">
        <f t="shared" si="59"/>
        <v>30055.96</v>
      </c>
      <c r="J762" s="19"/>
      <c r="K762" s="30"/>
      <c r="L762" s="201"/>
    </row>
    <row r="763" spans="1:12" outlineLevel="1" x14ac:dyDescent="0.2">
      <c r="A763" s="22" t="s">
        <v>322</v>
      </c>
      <c r="B763" s="107">
        <v>42853</v>
      </c>
      <c r="C763" s="112">
        <v>43109</v>
      </c>
      <c r="D763" s="113">
        <v>10</v>
      </c>
      <c r="E763" s="164"/>
      <c r="F763" s="164"/>
      <c r="G763" s="164">
        <v>20000</v>
      </c>
      <c r="H763" s="58">
        <f t="shared" si="58"/>
        <v>20000</v>
      </c>
      <c r="I763" s="52">
        <f t="shared" si="59"/>
        <v>20000</v>
      </c>
      <c r="J763" s="19"/>
      <c r="K763" s="30"/>
      <c r="L763" s="201"/>
    </row>
    <row r="764" spans="1:12" outlineLevel="1" x14ac:dyDescent="0.2">
      <c r="A764" s="22" t="s">
        <v>323</v>
      </c>
      <c r="B764" s="107">
        <v>42986</v>
      </c>
      <c r="C764" s="112">
        <v>43485</v>
      </c>
      <c r="D764" s="113">
        <v>50</v>
      </c>
      <c r="E764" s="164"/>
      <c r="F764" s="164"/>
      <c r="G764" s="164">
        <v>82871.19</v>
      </c>
      <c r="H764" s="58">
        <f t="shared" si="58"/>
        <v>82871.19</v>
      </c>
      <c r="I764" s="52">
        <f t="shared" si="59"/>
        <v>82871.19</v>
      </c>
      <c r="J764" s="19"/>
      <c r="K764" s="30"/>
      <c r="L764" s="201"/>
    </row>
    <row r="765" spans="1:12" outlineLevel="1" x14ac:dyDescent="0.2">
      <c r="A765" s="22" t="s">
        <v>1169</v>
      </c>
      <c r="B765" s="107">
        <v>43251</v>
      </c>
      <c r="C765" s="112">
        <v>43496</v>
      </c>
      <c r="D765" s="113">
        <v>10</v>
      </c>
      <c r="E765" s="164"/>
      <c r="F765" s="164">
        <v>3212.34</v>
      </c>
      <c r="G765" s="164"/>
      <c r="H765" s="58">
        <f t="shared" si="58"/>
        <v>3212.34</v>
      </c>
      <c r="I765" s="52">
        <f t="shared" si="59"/>
        <v>3212.34</v>
      </c>
      <c r="J765" s="19"/>
      <c r="K765" s="30"/>
      <c r="L765" s="201"/>
    </row>
    <row r="766" spans="1:12" outlineLevel="1" x14ac:dyDescent="0.2">
      <c r="A766" s="22" t="s">
        <v>1170</v>
      </c>
      <c r="B766" s="107">
        <v>43219</v>
      </c>
      <c r="C766" s="112">
        <v>43473</v>
      </c>
      <c r="D766" s="113">
        <v>10</v>
      </c>
      <c r="E766" s="164"/>
      <c r="F766" s="164">
        <v>6212.76</v>
      </c>
      <c r="G766" s="164"/>
      <c r="H766" s="58">
        <f t="shared" si="58"/>
        <v>6212.76</v>
      </c>
      <c r="I766" s="52">
        <f t="shared" si="59"/>
        <v>6212.76</v>
      </c>
      <c r="J766" s="19"/>
      <c r="K766" s="30"/>
      <c r="L766" s="201"/>
    </row>
    <row r="767" spans="1:12" outlineLevel="1" x14ac:dyDescent="0.2">
      <c r="A767" s="22" t="s">
        <v>1171</v>
      </c>
      <c r="B767" s="107">
        <v>43251</v>
      </c>
      <c r="C767" s="112">
        <v>43454</v>
      </c>
      <c r="D767" s="113">
        <v>50</v>
      </c>
      <c r="E767" s="164"/>
      <c r="F767" s="164">
        <v>22417.88</v>
      </c>
      <c r="G767" s="164"/>
      <c r="H767" s="58">
        <f t="shared" si="58"/>
        <v>22417.88</v>
      </c>
      <c r="I767" s="52">
        <f t="shared" si="59"/>
        <v>22417.88</v>
      </c>
      <c r="J767" s="19"/>
      <c r="K767" s="30"/>
      <c r="L767" s="201"/>
    </row>
    <row r="768" spans="1:12" outlineLevel="1" x14ac:dyDescent="0.2">
      <c r="A768" s="22" t="s">
        <v>1172</v>
      </c>
      <c r="B768" s="107">
        <v>43281</v>
      </c>
      <c r="C768" s="112">
        <v>43502</v>
      </c>
      <c r="D768" s="113">
        <v>80</v>
      </c>
      <c r="E768" s="164">
        <v>5965.73</v>
      </c>
      <c r="F768" s="164">
        <v>44546.02</v>
      </c>
      <c r="G768" s="164"/>
      <c r="H768" s="58">
        <f t="shared" si="58"/>
        <v>50511.75</v>
      </c>
      <c r="I768" s="52">
        <f t="shared" si="59"/>
        <v>50511.75</v>
      </c>
      <c r="J768" s="19"/>
      <c r="K768" s="30"/>
      <c r="L768" s="201"/>
    </row>
    <row r="769" spans="1:12" x14ac:dyDescent="0.2">
      <c r="A769" s="20"/>
      <c r="B769" s="103"/>
      <c r="C769" s="103"/>
      <c r="D769" s="194"/>
      <c r="E769" s="68">
        <f>SUM(E758:E768)</f>
        <v>42126.17</v>
      </c>
      <c r="F769" s="68">
        <f>SUM(F758:F768)</f>
        <v>272982.34000000003</v>
      </c>
      <c r="G769" s="68">
        <f>SUM(G758:G768)</f>
        <v>102871.19</v>
      </c>
      <c r="H769" s="58">
        <f>SUM(H758:H768)</f>
        <v>417979.7</v>
      </c>
      <c r="I769" s="58">
        <f>SUM(I758:I768)</f>
        <v>417979.7</v>
      </c>
      <c r="J769" s="56"/>
      <c r="K769" s="56"/>
      <c r="L769" s="201"/>
    </row>
    <row r="770" spans="1:12" s="27" customFormat="1" ht="24" x14ac:dyDescent="0.2">
      <c r="A770" s="44" t="s">
        <v>548</v>
      </c>
      <c r="B770" s="103"/>
      <c r="C770" s="104"/>
      <c r="D770" s="195"/>
      <c r="E770" s="71"/>
      <c r="F770" s="71"/>
      <c r="G770" s="14"/>
      <c r="H770" s="37"/>
      <c r="I770" s="52"/>
      <c r="J770" s="14"/>
      <c r="K770" s="43"/>
      <c r="L770" s="204"/>
    </row>
    <row r="771" spans="1:12" s="27" customFormat="1" ht="27.75" customHeight="1" outlineLevel="1" x14ac:dyDescent="0.2">
      <c r="A771" s="51" t="s">
        <v>1173</v>
      </c>
      <c r="B771" s="114">
        <v>43124</v>
      </c>
      <c r="C771" s="107">
        <v>43670</v>
      </c>
      <c r="D771" s="108">
        <v>50</v>
      </c>
      <c r="E771" s="173"/>
      <c r="F771" s="173">
        <v>776.2</v>
      </c>
      <c r="G771" s="164"/>
      <c r="H771" s="52">
        <f>E771+F771+G771</f>
        <v>776.2</v>
      </c>
      <c r="I771" s="52">
        <v>776.2</v>
      </c>
      <c r="J771" s="42"/>
      <c r="K771" s="42"/>
      <c r="L771" s="204"/>
    </row>
    <row r="772" spans="1:12" s="27" customFormat="1" ht="27.75" customHeight="1" outlineLevel="1" x14ac:dyDescent="0.2">
      <c r="A772" s="51" t="s">
        <v>532</v>
      </c>
      <c r="B772" s="114">
        <v>43129</v>
      </c>
      <c r="C772" s="107">
        <v>43494</v>
      </c>
      <c r="D772" s="108">
        <v>60</v>
      </c>
      <c r="E772" s="173"/>
      <c r="F772" s="173">
        <v>844.04</v>
      </c>
      <c r="G772" s="164"/>
      <c r="H772" s="52">
        <f t="shared" ref="H772:H821" si="60">E772+F772+G772</f>
        <v>844.04</v>
      </c>
      <c r="I772" s="52">
        <v>844.04</v>
      </c>
      <c r="J772" s="42"/>
      <c r="K772" s="42"/>
      <c r="L772" s="204"/>
    </row>
    <row r="773" spans="1:12" s="27" customFormat="1" ht="27.75" customHeight="1" outlineLevel="1" x14ac:dyDescent="0.2">
      <c r="A773" s="51" t="s">
        <v>533</v>
      </c>
      <c r="B773" s="114">
        <v>43123</v>
      </c>
      <c r="C773" s="107">
        <v>43488</v>
      </c>
      <c r="D773" s="108">
        <v>60</v>
      </c>
      <c r="E773" s="173"/>
      <c r="F773" s="163">
        <v>776.2</v>
      </c>
      <c r="G773" s="164"/>
      <c r="H773" s="52">
        <f t="shared" si="60"/>
        <v>776.2</v>
      </c>
      <c r="I773" s="52">
        <v>776.2</v>
      </c>
      <c r="J773" s="42"/>
      <c r="K773" s="42"/>
      <c r="L773" s="204"/>
    </row>
    <row r="774" spans="1:12" s="27" customFormat="1" ht="27.75" customHeight="1" outlineLevel="1" x14ac:dyDescent="0.2">
      <c r="A774" s="51" t="s">
        <v>349</v>
      </c>
      <c r="B774" s="114">
        <v>42702</v>
      </c>
      <c r="C774" s="107">
        <v>43465</v>
      </c>
      <c r="D774" s="108">
        <v>80</v>
      </c>
      <c r="E774" s="173"/>
      <c r="F774" s="163">
        <v>844.04</v>
      </c>
      <c r="G774" s="164"/>
      <c r="H774" s="52">
        <f t="shared" si="60"/>
        <v>844.04</v>
      </c>
      <c r="I774" s="52">
        <v>844.04</v>
      </c>
      <c r="J774" s="42"/>
      <c r="K774" s="42"/>
      <c r="L774" s="204"/>
    </row>
    <row r="775" spans="1:12" s="27" customFormat="1" ht="27.75" customHeight="1" outlineLevel="1" x14ac:dyDescent="0.2">
      <c r="A775" s="51" t="s">
        <v>1174</v>
      </c>
      <c r="B775" s="114">
        <v>43147</v>
      </c>
      <c r="C775" s="107">
        <v>43512</v>
      </c>
      <c r="D775" s="108">
        <v>55</v>
      </c>
      <c r="E775" s="173"/>
      <c r="F775" s="163">
        <v>776.2</v>
      </c>
      <c r="G775" s="164"/>
      <c r="H775" s="52">
        <f t="shared" si="60"/>
        <v>776.2</v>
      </c>
      <c r="I775" s="52">
        <v>776.2</v>
      </c>
      <c r="J775" s="42"/>
      <c r="K775" s="42"/>
      <c r="L775" s="204"/>
    </row>
    <row r="776" spans="1:12" s="27" customFormat="1" ht="27.75" customHeight="1" outlineLevel="1" x14ac:dyDescent="0.2">
      <c r="A776" s="51" t="s">
        <v>1175</v>
      </c>
      <c r="B776" s="114">
        <v>43208</v>
      </c>
      <c r="C776" s="107">
        <v>43483</v>
      </c>
      <c r="D776" s="108">
        <v>50</v>
      </c>
      <c r="E776" s="173"/>
      <c r="F776" s="163">
        <v>776.2</v>
      </c>
      <c r="G776" s="164"/>
      <c r="H776" s="52">
        <f t="shared" si="60"/>
        <v>776.2</v>
      </c>
      <c r="I776" s="52">
        <v>776.2</v>
      </c>
      <c r="J776" s="42"/>
      <c r="K776" s="42"/>
      <c r="L776" s="204"/>
    </row>
    <row r="777" spans="1:12" s="27" customFormat="1" ht="27.75" customHeight="1" outlineLevel="1" x14ac:dyDescent="0.2">
      <c r="A777" s="51" t="s">
        <v>1176</v>
      </c>
      <c r="B777" s="114">
        <v>43160</v>
      </c>
      <c r="C777" s="107">
        <v>43525</v>
      </c>
      <c r="D777" s="108">
        <v>50</v>
      </c>
      <c r="E777" s="173"/>
      <c r="F777" s="163">
        <v>6522.03</v>
      </c>
      <c r="G777" s="164"/>
      <c r="H777" s="52">
        <f t="shared" si="60"/>
        <v>6522.03</v>
      </c>
      <c r="I777" s="52">
        <v>6522.03</v>
      </c>
      <c r="J777" s="42"/>
      <c r="K777" s="42"/>
      <c r="L777" s="204"/>
    </row>
    <row r="778" spans="1:12" s="27" customFormat="1" ht="27.75" customHeight="1" outlineLevel="1" x14ac:dyDescent="0.2">
      <c r="A778" s="51" t="s">
        <v>350</v>
      </c>
      <c r="B778" s="114">
        <v>43147</v>
      </c>
      <c r="C778" s="107">
        <v>43512</v>
      </c>
      <c r="D778" s="108">
        <v>55</v>
      </c>
      <c r="E778" s="173"/>
      <c r="F778" s="163">
        <v>844.04</v>
      </c>
      <c r="G778" s="164"/>
      <c r="H778" s="52">
        <f t="shared" si="60"/>
        <v>844.04</v>
      </c>
      <c r="I778" s="52">
        <v>844.04</v>
      </c>
      <c r="J778" s="42"/>
      <c r="K778" s="42"/>
      <c r="L778" s="204"/>
    </row>
    <row r="779" spans="1:12" s="27" customFormat="1" ht="23.25" customHeight="1" outlineLevel="1" x14ac:dyDescent="0.2">
      <c r="A779" s="51" t="s">
        <v>1177</v>
      </c>
      <c r="B779" s="114">
        <v>43199</v>
      </c>
      <c r="C779" s="107">
        <v>43474</v>
      </c>
      <c r="D779" s="108">
        <v>50</v>
      </c>
      <c r="E779" s="173"/>
      <c r="F779" s="163">
        <v>776.2</v>
      </c>
      <c r="G779" s="164"/>
      <c r="H779" s="52">
        <f t="shared" si="60"/>
        <v>776.2</v>
      </c>
      <c r="I779" s="52">
        <v>776.2</v>
      </c>
      <c r="J779" s="42"/>
      <c r="K779" s="42"/>
      <c r="L779" s="204"/>
    </row>
    <row r="780" spans="1:12" s="27" customFormat="1" ht="27.75" customHeight="1" outlineLevel="1" x14ac:dyDescent="0.2">
      <c r="A780" s="51" t="s">
        <v>1178</v>
      </c>
      <c r="B780" s="114">
        <v>43216</v>
      </c>
      <c r="C780" s="107">
        <v>43491</v>
      </c>
      <c r="D780" s="108">
        <v>40</v>
      </c>
      <c r="E780" s="173"/>
      <c r="F780" s="163">
        <v>776.2</v>
      </c>
      <c r="G780" s="164"/>
      <c r="H780" s="52">
        <f t="shared" si="60"/>
        <v>776.2</v>
      </c>
      <c r="I780" s="52">
        <v>776.2</v>
      </c>
      <c r="J780" s="42"/>
      <c r="K780" s="42"/>
      <c r="L780" s="204"/>
    </row>
    <row r="781" spans="1:12" s="27" customFormat="1" ht="12.75" outlineLevel="1" x14ac:dyDescent="0.2">
      <c r="A781" s="51" t="s">
        <v>1179</v>
      </c>
      <c r="B781" s="114">
        <v>42999</v>
      </c>
      <c r="C781" s="107">
        <v>43364</v>
      </c>
      <c r="D781" s="108">
        <v>70</v>
      </c>
      <c r="E781" s="173"/>
      <c r="F781" s="163">
        <v>19121</v>
      </c>
      <c r="G781" s="164"/>
      <c r="H781" s="52">
        <f t="shared" si="60"/>
        <v>19121</v>
      </c>
      <c r="I781" s="52">
        <v>19121</v>
      </c>
      <c r="J781" s="42"/>
      <c r="K781" s="42"/>
      <c r="L781" s="204"/>
    </row>
    <row r="782" spans="1:12" ht="30.75" customHeight="1" outlineLevel="1" x14ac:dyDescent="0.2">
      <c r="A782" s="51" t="s">
        <v>534</v>
      </c>
      <c r="B782" s="114">
        <v>43063</v>
      </c>
      <c r="C782" s="107">
        <v>43428</v>
      </c>
      <c r="D782" s="108">
        <v>30</v>
      </c>
      <c r="E782" s="173"/>
      <c r="F782" s="163">
        <v>776.2</v>
      </c>
      <c r="G782" s="164"/>
      <c r="H782" s="52">
        <f t="shared" si="60"/>
        <v>776.2</v>
      </c>
      <c r="I782" s="52">
        <v>776.2</v>
      </c>
      <c r="J782" s="42"/>
      <c r="K782" s="42"/>
      <c r="L782" s="201"/>
    </row>
    <row r="783" spans="1:12" s="27" customFormat="1" ht="27.75" customHeight="1" outlineLevel="1" x14ac:dyDescent="0.2">
      <c r="A783" s="51" t="s">
        <v>535</v>
      </c>
      <c r="B783" s="114">
        <v>43132</v>
      </c>
      <c r="C783" s="107">
        <v>43497</v>
      </c>
      <c r="D783" s="108">
        <v>30</v>
      </c>
      <c r="E783" s="173"/>
      <c r="F783" s="163">
        <v>6327.25</v>
      </c>
      <c r="G783" s="164"/>
      <c r="H783" s="52">
        <f t="shared" si="60"/>
        <v>6327.25</v>
      </c>
      <c r="I783" s="52">
        <v>6327.25</v>
      </c>
      <c r="J783" s="42"/>
      <c r="K783" s="42"/>
      <c r="L783" s="204"/>
    </row>
    <row r="784" spans="1:12" s="27" customFormat="1" ht="24" outlineLevel="1" x14ac:dyDescent="0.2">
      <c r="A784" s="51" t="s">
        <v>208</v>
      </c>
      <c r="B784" s="114">
        <v>42984</v>
      </c>
      <c r="C784" s="107">
        <v>43530</v>
      </c>
      <c r="D784" s="108">
        <v>40</v>
      </c>
      <c r="E784" s="163">
        <v>817.86</v>
      </c>
      <c r="F784" s="173"/>
      <c r="G784" s="164"/>
      <c r="H784" s="52">
        <f t="shared" si="60"/>
        <v>817.86</v>
      </c>
      <c r="I784" s="52">
        <v>817.86</v>
      </c>
      <c r="J784" s="42"/>
      <c r="K784" s="42"/>
      <c r="L784" s="204"/>
    </row>
    <row r="785" spans="1:12" s="27" customFormat="1" ht="12.75" outlineLevel="1" x14ac:dyDescent="0.2">
      <c r="A785" s="51" t="s">
        <v>1180</v>
      </c>
      <c r="B785" s="114">
        <v>43201</v>
      </c>
      <c r="C785" s="107">
        <v>43566</v>
      </c>
      <c r="D785" s="108">
        <v>55</v>
      </c>
      <c r="E785" s="163"/>
      <c r="F785" s="163">
        <v>776.2</v>
      </c>
      <c r="G785" s="164"/>
      <c r="H785" s="52">
        <f t="shared" si="60"/>
        <v>776.2</v>
      </c>
      <c r="I785" s="52">
        <v>776.2</v>
      </c>
      <c r="J785" s="42"/>
      <c r="K785" s="42"/>
      <c r="L785" s="204"/>
    </row>
    <row r="786" spans="1:12" s="27" customFormat="1" ht="12.75" outlineLevel="1" x14ac:dyDescent="0.2">
      <c r="A786" s="51" t="s">
        <v>536</v>
      </c>
      <c r="B786" s="114">
        <v>43059</v>
      </c>
      <c r="C786" s="107">
        <v>43424</v>
      </c>
      <c r="D786" s="108">
        <v>60</v>
      </c>
      <c r="E786" s="163"/>
      <c r="F786" s="163">
        <v>776.2</v>
      </c>
      <c r="G786" s="164"/>
      <c r="H786" s="52">
        <f t="shared" si="60"/>
        <v>776.2</v>
      </c>
      <c r="I786" s="52">
        <v>776.2</v>
      </c>
      <c r="J786" s="42"/>
      <c r="K786" s="42"/>
      <c r="L786" s="204"/>
    </row>
    <row r="787" spans="1:12" s="27" customFormat="1" ht="12.75" outlineLevel="1" x14ac:dyDescent="0.2">
      <c r="A787" s="51" t="s">
        <v>537</v>
      </c>
      <c r="B787" s="114">
        <v>43091</v>
      </c>
      <c r="C787" s="107">
        <v>43456</v>
      </c>
      <c r="D787" s="108">
        <v>50</v>
      </c>
      <c r="E787" s="163"/>
      <c r="F787" s="163">
        <v>776.2</v>
      </c>
      <c r="G787" s="164"/>
      <c r="H787" s="52">
        <f t="shared" si="60"/>
        <v>776.2</v>
      </c>
      <c r="I787" s="52">
        <v>776.2</v>
      </c>
      <c r="J787" s="42"/>
      <c r="K787" s="42"/>
      <c r="L787" s="204"/>
    </row>
    <row r="788" spans="1:12" s="27" customFormat="1" ht="29.25" customHeight="1" outlineLevel="1" x14ac:dyDescent="0.2">
      <c r="A788" s="51" t="s">
        <v>538</v>
      </c>
      <c r="B788" s="114">
        <v>43152</v>
      </c>
      <c r="C788" s="107">
        <v>43517</v>
      </c>
      <c r="D788" s="108">
        <v>45</v>
      </c>
      <c r="E788" s="163"/>
      <c r="F788" s="163">
        <v>776.2</v>
      </c>
      <c r="G788" s="164"/>
      <c r="H788" s="52">
        <f t="shared" si="60"/>
        <v>776.2</v>
      </c>
      <c r="I788" s="52">
        <v>776.2</v>
      </c>
      <c r="J788" s="42"/>
      <c r="K788" s="42"/>
      <c r="L788" s="204"/>
    </row>
    <row r="789" spans="1:12" s="27" customFormat="1" ht="24" outlineLevel="1" x14ac:dyDescent="0.2">
      <c r="A789" s="51" t="s">
        <v>1</v>
      </c>
      <c r="B789" s="114">
        <v>42254</v>
      </c>
      <c r="C789" s="107">
        <v>43350</v>
      </c>
      <c r="D789" s="108">
        <v>80</v>
      </c>
      <c r="E789" s="163">
        <v>8918.81</v>
      </c>
      <c r="F789" s="173"/>
      <c r="G789" s="164"/>
      <c r="H789" s="52">
        <f t="shared" si="60"/>
        <v>8918.81</v>
      </c>
      <c r="I789" s="52">
        <v>8918.81</v>
      </c>
      <c r="J789" s="14"/>
      <c r="K789" s="43"/>
      <c r="L789" s="204"/>
    </row>
    <row r="790" spans="1:12" s="27" customFormat="1" ht="24" outlineLevel="1" x14ac:dyDescent="0.2">
      <c r="A790" s="51" t="s">
        <v>52</v>
      </c>
      <c r="B790" s="114">
        <v>42130</v>
      </c>
      <c r="C790" s="107">
        <v>43464</v>
      </c>
      <c r="D790" s="108">
        <v>50</v>
      </c>
      <c r="E790" s="163">
        <v>393.02</v>
      </c>
      <c r="F790" s="163">
        <v>502818.27</v>
      </c>
      <c r="G790" s="164"/>
      <c r="H790" s="52">
        <f t="shared" si="60"/>
        <v>503211.29000000004</v>
      </c>
      <c r="I790" s="52">
        <f>H790</f>
        <v>503211.29000000004</v>
      </c>
      <c r="J790" s="42"/>
      <c r="K790" s="42"/>
      <c r="L790" s="204"/>
    </row>
    <row r="791" spans="1:12" s="27" customFormat="1" ht="24" outlineLevel="1" x14ac:dyDescent="0.2">
      <c r="A791" s="51" t="s">
        <v>2</v>
      </c>
      <c r="B791" s="114">
        <v>42234</v>
      </c>
      <c r="C791" s="107">
        <v>43736</v>
      </c>
      <c r="D791" s="108">
        <v>70</v>
      </c>
      <c r="E791" s="163">
        <v>8263.65</v>
      </c>
      <c r="F791" s="163"/>
      <c r="G791" s="164"/>
      <c r="H791" s="52">
        <f t="shared" si="60"/>
        <v>8263.65</v>
      </c>
      <c r="I791" s="52">
        <v>8263.65</v>
      </c>
      <c r="J791" s="14"/>
      <c r="K791" s="43"/>
      <c r="L791" s="204"/>
    </row>
    <row r="792" spans="1:12" s="27" customFormat="1" ht="24" outlineLevel="1" x14ac:dyDescent="0.2">
      <c r="A792" s="51" t="s">
        <v>53</v>
      </c>
      <c r="B792" s="114">
        <v>42382</v>
      </c>
      <c r="C792" s="107">
        <v>43465</v>
      </c>
      <c r="D792" s="108">
        <v>60</v>
      </c>
      <c r="E792" s="163">
        <v>5623.87</v>
      </c>
      <c r="F792" s="163"/>
      <c r="G792" s="164"/>
      <c r="H792" s="52">
        <f t="shared" si="60"/>
        <v>5623.87</v>
      </c>
      <c r="I792" s="52">
        <v>5623.87</v>
      </c>
      <c r="J792" s="14"/>
      <c r="K792" s="43"/>
      <c r="L792" s="204"/>
    </row>
    <row r="793" spans="1:12" s="27" customFormat="1" ht="24" outlineLevel="1" x14ac:dyDescent="0.2">
      <c r="A793" s="51" t="s">
        <v>209</v>
      </c>
      <c r="B793" s="114">
        <v>42886</v>
      </c>
      <c r="C793" s="107">
        <v>43285</v>
      </c>
      <c r="D793" s="108">
        <v>100</v>
      </c>
      <c r="E793" s="163"/>
      <c r="F793" s="163">
        <v>817.86</v>
      </c>
      <c r="G793" s="164"/>
      <c r="H793" s="52">
        <f t="shared" si="60"/>
        <v>817.86</v>
      </c>
      <c r="I793" s="52">
        <v>817.86</v>
      </c>
      <c r="J793" s="42"/>
      <c r="K793" s="42"/>
      <c r="L793" s="204"/>
    </row>
    <row r="794" spans="1:12" s="27" customFormat="1" ht="30" customHeight="1" outlineLevel="1" x14ac:dyDescent="0.2">
      <c r="A794" s="51" t="s">
        <v>539</v>
      </c>
      <c r="B794" s="114">
        <v>43151</v>
      </c>
      <c r="C794" s="107">
        <v>43516</v>
      </c>
      <c r="D794" s="108">
        <v>55</v>
      </c>
      <c r="E794" s="163"/>
      <c r="F794" s="163">
        <v>776.2</v>
      </c>
      <c r="G794" s="164"/>
      <c r="H794" s="52">
        <f t="shared" si="60"/>
        <v>776.2</v>
      </c>
      <c r="I794" s="52">
        <v>776.2</v>
      </c>
      <c r="J794" s="42"/>
      <c r="K794" s="42"/>
      <c r="L794" s="204"/>
    </row>
    <row r="795" spans="1:12" s="27" customFormat="1" ht="24" outlineLevel="1" x14ac:dyDescent="0.2">
      <c r="A795" s="51" t="s">
        <v>1181</v>
      </c>
      <c r="B795" s="114">
        <v>43151</v>
      </c>
      <c r="C795" s="107">
        <v>43516</v>
      </c>
      <c r="D795" s="108">
        <v>50</v>
      </c>
      <c r="E795" s="163"/>
      <c r="F795" s="163">
        <v>844.04</v>
      </c>
      <c r="G795" s="164"/>
      <c r="H795" s="52">
        <f t="shared" si="60"/>
        <v>844.04</v>
      </c>
      <c r="I795" s="52">
        <v>844.04</v>
      </c>
      <c r="J795" s="42"/>
      <c r="K795" s="42"/>
      <c r="L795" s="204"/>
    </row>
    <row r="796" spans="1:12" s="27" customFormat="1" ht="12.75" outlineLevel="1" x14ac:dyDescent="0.2">
      <c r="A796" s="51" t="s">
        <v>1182</v>
      </c>
      <c r="B796" s="114">
        <v>43193</v>
      </c>
      <c r="C796" s="107">
        <v>43447</v>
      </c>
      <c r="D796" s="108">
        <v>60</v>
      </c>
      <c r="E796" s="163"/>
      <c r="F796" s="163">
        <v>776.2</v>
      </c>
      <c r="G796" s="164"/>
      <c r="H796" s="52">
        <f t="shared" si="60"/>
        <v>776.2</v>
      </c>
      <c r="I796" s="52">
        <v>776.2</v>
      </c>
      <c r="J796" s="42"/>
      <c r="K796" s="42"/>
      <c r="L796" s="204"/>
    </row>
    <row r="797" spans="1:12" s="27" customFormat="1" ht="12.75" outlineLevel="1" x14ac:dyDescent="0.2">
      <c r="A797" s="51" t="s">
        <v>1183</v>
      </c>
      <c r="B797" s="114">
        <v>43193</v>
      </c>
      <c r="C797" s="107">
        <v>43447</v>
      </c>
      <c r="D797" s="108">
        <v>60</v>
      </c>
      <c r="E797" s="163"/>
      <c r="F797" s="163">
        <v>776.2</v>
      </c>
      <c r="G797" s="164"/>
      <c r="H797" s="52">
        <f t="shared" si="60"/>
        <v>776.2</v>
      </c>
      <c r="I797" s="52">
        <v>776.2</v>
      </c>
      <c r="J797" s="42"/>
      <c r="K797" s="42"/>
      <c r="L797" s="204"/>
    </row>
    <row r="798" spans="1:12" s="27" customFormat="1" ht="24" outlineLevel="1" x14ac:dyDescent="0.2">
      <c r="A798" s="51" t="s">
        <v>540</v>
      </c>
      <c r="B798" s="114">
        <v>42963</v>
      </c>
      <c r="C798" s="107">
        <v>43328</v>
      </c>
      <c r="D798" s="108">
        <v>80</v>
      </c>
      <c r="E798" s="163"/>
      <c r="F798" s="163">
        <v>844.04</v>
      </c>
      <c r="G798" s="164"/>
      <c r="H798" s="52">
        <f t="shared" si="60"/>
        <v>844.04</v>
      </c>
      <c r="I798" s="52">
        <v>844.04</v>
      </c>
      <c r="J798" s="42"/>
      <c r="K798" s="42"/>
      <c r="L798" s="204"/>
    </row>
    <row r="799" spans="1:12" s="27" customFormat="1" ht="12.75" outlineLevel="1" x14ac:dyDescent="0.2">
      <c r="A799" s="51" t="s">
        <v>351</v>
      </c>
      <c r="B799" s="114">
        <v>43027</v>
      </c>
      <c r="C799" s="107">
        <v>43392</v>
      </c>
      <c r="D799" s="108">
        <v>70</v>
      </c>
      <c r="E799" s="163"/>
      <c r="F799" s="163">
        <v>844.04</v>
      </c>
      <c r="G799" s="164"/>
      <c r="H799" s="52">
        <f t="shared" si="60"/>
        <v>844.04</v>
      </c>
      <c r="I799" s="52">
        <v>844.04</v>
      </c>
      <c r="J799" s="42"/>
      <c r="K799" s="42"/>
      <c r="L799" s="204"/>
    </row>
    <row r="800" spans="1:12" s="27" customFormat="1" ht="39" customHeight="1" outlineLevel="1" x14ac:dyDescent="0.2">
      <c r="A800" s="51" t="s">
        <v>210</v>
      </c>
      <c r="B800" s="114">
        <v>42754</v>
      </c>
      <c r="C800" s="107">
        <v>43484</v>
      </c>
      <c r="D800" s="108">
        <v>50</v>
      </c>
      <c r="E800" s="163">
        <v>817.86</v>
      </c>
      <c r="F800" s="163"/>
      <c r="G800" s="164"/>
      <c r="H800" s="52">
        <f t="shared" si="60"/>
        <v>817.86</v>
      </c>
      <c r="I800" s="52">
        <v>817.86</v>
      </c>
      <c r="J800" s="42"/>
      <c r="K800" s="42"/>
      <c r="L800" s="204"/>
    </row>
    <row r="801" spans="1:12" s="27" customFormat="1" ht="24" outlineLevel="1" x14ac:dyDescent="0.2">
      <c r="A801" s="51" t="s">
        <v>3</v>
      </c>
      <c r="B801" s="114">
        <v>42248</v>
      </c>
      <c r="C801" s="107">
        <v>43344</v>
      </c>
      <c r="D801" s="108">
        <v>80</v>
      </c>
      <c r="E801" s="163">
        <v>8263.65</v>
      </c>
      <c r="F801" s="193"/>
      <c r="G801" s="164"/>
      <c r="H801" s="52">
        <f t="shared" si="60"/>
        <v>8263.65</v>
      </c>
      <c r="I801" s="52">
        <v>8263.65</v>
      </c>
      <c r="J801" s="14"/>
      <c r="K801" s="43"/>
      <c r="L801" s="204"/>
    </row>
    <row r="802" spans="1:12" s="27" customFormat="1" ht="12.75" outlineLevel="1" x14ac:dyDescent="0.2">
      <c r="A802" s="51" t="s">
        <v>541</v>
      </c>
      <c r="B802" s="114">
        <v>43094</v>
      </c>
      <c r="C802" s="107">
        <v>43459</v>
      </c>
      <c r="D802" s="108">
        <v>60</v>
      </c>
      <c r="E802" s="163"/>
      <c r="F802" s="163">
        <v>844.04</v>
      </c>
      <c r="G802" s="164"/>
      <c r="H802" s="52">
        <f t="shared" si="60"/>
        <v>844.04</v>
      </c>
      <c r="I802" s="52">
        <v>844.04</v>
      </c>
      <c r="J802" s="42"/>
      <c r="K802" s="42"/>
      <c r="L802" s="204"/>
    </row>
    <row r="803" spans="1:12" s="27" customFormat="1" ht="33.75" customHeight="1" outlineLevel="1" x14ac:dyDescent="0.2">
      <c r="A803" s="51" t="s">
        <v>545</v>
      </c>
      <c r="B803" s="114">
        <v>42234</v>
      </c>
      <c r="C803" s="107">
        <v>43465</v>
      </c>
      <c r="D803" s="108">
        <v>70</v>
      </c>
      <c r="E803" s="163">
        <v>4046.07</v>
      </c>
      <c r="F803" s="163"/>
      <c r="G803" s="164"/>
      <c r="H803" s="52">
        <f t="shared" si="60"/>
        <v>4046.07</v>
      </c>
      <c r="I803" s="52">
        <v>4046.07</v>
      </c>
      <c r="J803" s="14"/>
      <c r="K803" s="43"/>
      <c r="L803" s="204"/>
    </row>
    <row r="804" spans="1:12" s="27" customFormat="1" ht="29.25" customHeight="1" outlineLevel="1" x14ac:dyDescent="0.2">
      <c r="A804" s="51" t="s">
        <v>546</v>
      </c>
      <c r="B804" s="114">
        <v>42262</v>
      </c>
      <c r="C804" s="107">
        <v>43465</v>
      </c>
      <c r="D804" s="108">
        <v>70</v>
      </c>
      <c r="E804" s="163">
        <v>3493.44</v>
      </c>
      <c r="F804" s="163"/>
      <c r="G804" s="164"/>
      <c r="H804" s="52">
        <f t="shared" si="60"/>
        <v>3493.44</v>
      </c>
      <c r="I804" s="52">
        <v>3493.44</v>
      </c>
      <c r="J804" s="14"/>
      <c r="K804" s="43"/>
      <c r="L804" s="204"/>
    </row>
    <row r="805" spans="1:12" s="27" customFormat="1" ht="29.25" customHeight="1" outlineLevel="1" x14ac:dyDescent="0.2">
      <c r="A805" s="51" t="s">
        <v>1184</v>
      </c>
      <c r="B805" s="114">
        <v>43200</v>
      </c>
      <c r="C805" s="107">
        <v>43475</v>
      </c>
      <c r="D805" s="108">
        <v>50</v>
      </c>
      <c r="E805" s="163"/>
      <c r="F805" s="163">
        <v>776.2</v>
      </c>
      <c r="G805" s="164"/>
      <c r="H805" s="52">
        <f t="shared" si="60"/>
        <v>776.2</v>
      </c>
      <c r="I805" s="52">
        <v>776.2</v>
      </c>
      <c r="J805" s="14"/>
      <c r="K805" s="43"/>
      <c r="L805" s="204"/>
    </row>
    <row r="806" spans="1:12" s="27" customFormat="1" ht="44.25" customHeight="1" outlineLevel="1" x14ac:dyDescent="0.2">
      <c r="A806" s="51" t="s">
        <v>1185</v>
      </c>
      <c r="B806" s="114">
        <v>43006</v>
      </c>
      <c r="C806" s="107">
        <v>43552</v>
      </c>
      <c r="D806" s="108">
        <v>50</v>
      </c>
      <c r="E806" s="163">
        <v>6951.27</v>
      </c>
      <c r="F806" s="163">
        <v>25176</v>
      </c>
      <c r="G806" s="164"/>
      <c r="H806" s="52">
        <f t="shared" si="60"/>
        <v>32127.27</v>
      </c>
      <c r="I806" s="52">
        <v>32127.27</v>
      </c>
      <c r="J806" s="42"/>
      <c r="K806" s="42"/>
      <c r="L806" s="204"/>
    </row>
    <row r="807" spans="1:12" s="27" customFormat="1" ht="35.25" customHeight="1" outlineLevel="1" x14ac:dyDescent="0.2">
      <c r="A807" s="51" t="s">
        <v>542</v>
      </c>
      <c r="B807" s="114">
        <v>43130</v>
      </c>
      <c r="C807" s="107">
        <v>43495</v>
      </c>
      <c r="D807" s="108">
        <v>55</v>
      </c>
      <c r="E807" s="163"/>
      <c r="F807" s="163">
        <v>776.2</v>
      </c>
      <c r="G807" s="164"/>
      <c r="H807" s="52">
        <f t="shared" si="60"/>
        <v>776.2</v>
      </c>
      <c r="I807" s="52">
        <v>776.2</v>
      </c>
      <c r="J807" s="42"/>
      <c r="K807" s="42"/>
      <c r="L807" s="204"/>
    </row>
    <row r="808" spans="1:12" s="27" customFormat="1" ht="12.75" outlineLevel="1" x14ac:dyDescent="0.2">
      <c r="A808" s="51" t="s">
        <v>1186</v>
      </c>
      <c r="B808" s="114">
        <v>43087</v>
      </c>
      <c r="C808" s="107">
        <v>43452</v>
      </c>
      <c r="D808" s="108">
        <v>65</v>
      </c>
      <c r="E808" s="163"/>
      <c r="F808" s="163">
        <v>1552.4</v>
      </c>
      <c r="G808" s="164"/>
      <c r="H808" s="52">
        <f t="shared" si="60"/>
        <v>1552.4</v>
      </c>
      <c r="I808" s="52">
        <v>1552.4</v>
      </c>
      <c r="J808" s="42"/>
      <c r="K808" s="42"/>
      <c r="L808" s="204"/>
    </row>
    <row r="809" spans="1:12" s="27" customFormat="1" ht="27.75" customHeight="1" outlineLevel="1" x14ac:dyDescent="0.2">
      <c r="A809" s="51" t="s">
        <v>352</v>
      </c>
      <c r="B809" s="114">
        <v>43012</v>
      </c>
      <c r="C809" s="107">
        <v>43377</v>
      </c>
      <c r="D809" s="108">
        <v>70</v>
      </c>
      <c r="E809" s="163"/>
      <c r="F809" s="163">
        <v>844.04</v>
      </c>
      <c r="G809" s="164"/>
      <c r="H809" s="52">
        <f t="shared" si="60"/>
        <v>844.04</v>
      </c>
      <c r="I809" s="52">
        <v>844.04</v>
      </c>
      <c r="J809" s="42"/>
      <c r="K809" s="42"/>
      <c r="L809" s="204"/>
    </row>
    <row r="810" spans="1:12" ht="12.75" outlineLevel="1" x14ac:dyDescent="0.2">
      <c r="A810" s="51" t="s">
        <v>543</v>
      </c>
      <c r="B810" s="114">
        <v>43116</v>
      </c>
      <c r="C810" s="107">
        <v>43481</v>
      </c>
      <c r="D810" s="108">
        <v>60</v>
      </c>
      <c r="E810" s="163"/>
      <c r="F810" s="163">
        <v>776.2</v>
      </c>
      <c r="G810" s="164"/>
      <c r="H810" s="52">
        <f t="shared" si="60"/>
        <v>776.2</v>
      </c>
      <c r="I810" s="52">
        <v>776.2</v>
      </c>
      <c r="J810" s="42"/>
      <c r="K810" s="42"/>
      <c r="L810" s="201"/>
    </row>
    <row r="811" spans="1:12" ht="30" customHeight="1" outlineLevel="1" x14ac:dyDescent="0.2">
      <c r="A811" s="51" t="s">
        <v>54</v>
      </c>
      <c r="B811" s="114">
        <v>42458</v>
      </c>
      <c r="C811" s="107">
        <v>43552</v>
      </c>
      <c r="D811" s="108">
        <v>40</v>
      </c>
      <c r="E811" s="163">
        <v>4820.46</v>
      </c>
      <c r="F811" s="163"/>
      <c r="G811" s="164"/>
      <c r="H811" s="52">
        <f t="shared" si="60"/>
        <v>4820.46</v>
      </c>
      <c r="I811" s="52">
        <v>4820.46</v>
      </c>
      <c r="J811" s="14"/>
      <c r="K811" s="43"/>
      <c r="L811" s="201"/>
    </row>
    <row r="812" spans="1:12" ht="18" customHeight="1" outlineLevel="1" x14ac:dyDescent="0.2">
      <c r="A812" s="51" t="s">
        <v>353</v>
      </c>
      <c r="B812" s="114">
        <v>43200</v>
      </c>
      <c r="C812" s="107">
        <v>43475</v>
      </c>
      <c r="D812" s="108">
        <v>70</v>
      </c>
      <c r="E812" s="163"/>
      <c r="F812" s="163">
        <v>844.04</v>
      </c>
      <c r="G812" s="164"/>
      <c r="H812" s="52">
        <f t="shared" si="60"/>
        <v>844.04</v>
      </c>
      <c r="I812" s="52">
        <v>844.04</v>
      </c>
      <c r="J812" s="42"/>
      <c r="K812" s="42"/>
      <c r="L812" s="201"/>
    </row>
    <row r="813" spans="1:12" ht="27" customHeight="1" outlineLevel="1" x14ac:dyDescent="0.2">
      <c r="A813" s="51" t="s">
        <v>547</v>
      </c>
      <c r="B813" s="114">
        <v>42101</v>
      </c>
      <c r="C813" s="107">
        <v>43554</v>
      </c>
      <c r="D813" s="108">
        <v>60</v>
      </c>
      <c r="E813" s="163">
        <v>43952.2</v>
      </c>
      <c r="F813" s="163"/>
      <c r="G813" s="164"/>
      <c r="H813" s="52">
        <f t="shared" si="60"/>
        <v>43952.2</v>
      </c>
      <c r="I813" s="52">
        <v>43952.2</v>
      </c>
      <c r="J813" s="14"/>
      <c r="K813" s="43"/>
      <c r="L813" s="201"/>
    </row>
    <row r="814" spans="1:12" ht="27" customHeight="1" outlineLevel="1" x14ac:dyDescent="0.2">
      <c r="A814" s="51" t="s">
        <v>1187</v>
      </c>
      <c r="B814" s="114">
        <v>43098</v>
      </c>
      <c r="C814" s="107">
        <v>43463</v>
      </c>
      <c r="D814" s="108">
        <v>65</v>
      </c>
      <c r="E814" s="163"/>
      <c r="F814" s="163">
        <v>776.2</v>
      </c>
      <c r="G814" s="164"/>
      <c r="H814" s="52">
        <f t="shared" si="60"/>
        <v>776.2</v>
      </c>
      <c r="I814" s="52">
        <v>776.2</v>
      </c>
      <c r="J814" s="42"/>
      <c r="K814" s="42"/>
      <c r="L814" s="201"/>
    </row>
    <row r="815" spans="1:12" ht="27" customHeight="1" outlineLevel="1" x14ac:dyDescent="0.2">
      <c r="A815" s="51" t="s">
        <v>354</v>
      </c>
      <c r="B815" s="114">
        <v>42909</v>
      </c>
      <c r="C815" s="107">
        <v>43457</v>
      </c>
      <c r="D815" s="108">
        <v>50</v>
      </c>
      <c r="E815" s="163">
        <v>19534.78</v>
      </c>
      <c r="F815" s="163"/>
      <c r="G815" s="164"/>
      <c r="H815" s="52">
        <f t="shared" si="60"/>
        <v>19534.78</v>
      </c>
      <c r="I815" s="52">
        <v>19534.78</v>
      </c>
      <c r="J815" s="42"/>
      <c r="K815" s="42"/>
      <c r="L815" s="201"/>
    </row>
    <row r="816" spans="1:12" ht="27" customHeight="1" outlineLevel="1" x14ac:dyDescent="0.2">
      <c r="A816" s="51" t="s">
        <v>1188</v>
      </c>
      <c r="B816" s="114">
        <v>43181</v>
      </c>
      <c r="C816" s="107">
        <v>43456</v>
      </c>
      <c r="D816" s="108">
        <v>70</v>
      </c>
      <c r="E816" s="163"/>
      <c r="F816" s="163">
        <v>776.2</v>
      </c>
      <c r="G816" s="164"/>
      <c r="H816" s="52">
        <f t="shared" si="60"/>
        <v>776.2</v>
      </c>
      <c r="I816" s="52">
        <v>776.2</v>
      </c>
      <c r="J816" s="42"/>
      <c r="K816" s="42"/>
      <c r="L816" s="201"/>
    </row>
    <row r="817" spans="1:12" ht="48" customHeight="1" outlineLevel="1" x14ac:dyDescent="0.2">
      <c r="A817" s="51" t="s">
        <v>211</v>
      </c>
      <c r="B817" s="107">
        <v>42917</v>
      </c>
      <c r="C817" s="107" t="s">
        <v>1189</v>
      </c>
      <c r="D817" s="108"/>
      <c r="E817" s="163"/>
      <c r="F817" s="163">
        <v>104863.14</v>
      </c>
      <c r="G817" s="164"/>
      <c r="H817" s="52">
        <f t="shared" si="60"/>
        <v>104863.14</v>
      </c>
      <c r="I817" s="52">
        <v>104863.14</v>
      </c>
      <c r="J817" s="42"/>
      <c r="K817" s="42"/>
      <c r="L817" s="201"/>
    </row>
    <row r="818" spans="1:12" ht="48" customHeight="1" outlineLevel="1" x14ac:dyDescent="0.2">
      <c r="A818" s="51" t="s">
        <v>544</v>
      </c>
      <c r="B818" s="107">
        <v>42736</v>
      </c>
      <c r="C818" s="107" t="s">
        <v>1189</v>
      </c>
      <c r="D818" s="108"/>
      <c r="E818" s="163"/>
      <c r="F818" s="163">
        <v>844.04</v>
      </c>
      <c r="G818" s="164"/>
      <c r="H818" s="52">
        <f t="shared" si="60"/>
        <v>844.04</v>
      </c>
      <c r="I818" s="52">
        <v>844.04</v>
      </c>
      <c r="J818" s="42"/>
      <c r="K818" s="42"/>
      <c r="L818" s="201"/>
    </row>
    <row r="819" spans="1:12" ht="48" customHeight="1" outlineLevel="1" x14ac:dyDescent="0.2">
      <c r="A819" s="51" t="s">
        <v>355</v>
      </c>
      <c r="B819" s="107">
        <v>42736</v>
      </c>
      <c r="C819" s="107" t="s">
        <v>1189</v>
      </c>
      <c r="D819" s="108"/>
      <c r="E819" s="163"/>
      <c r="F819" s="163">
        <v>5913.98</v>
      </c>
      <c r="G819" s="164"/>
      <c r="H819" s="52">
        <f t="shared" si="60"/>
        <v>5913.98</v>
      </c>
      <c r="I819" s="52">
        <v>5913.98</v>
      </c>
      <c r="J819" s="42"/>
      <c r="K819" s="42"/>
      <c r="L819" s="201"/>
    </row>
    <row r="820" spans="1:12" ht="48" customHeight="1" outlineLevel="1" x14ac:dyDescent="0.2">
      <c r="A820" s="51" t="s">
        <v>1190</v>
      </c>
      <c r="B820" s="107">
        <v>42795</v>
      </c>
      <c r="C820" s="107" t="s">
        <v>1189</v>
      </c>
      <c r="D820" s="108"/>
      <c r="E820" s="163">
        <v>10613.69</v>
      </c>
      <c r="F820" s="163"/>
      <c r="G820" s="164"/>
      <c r="H820" s="52">
        <f t="shared" si="60"/>
        <v>10613.69</v>
      </c>
      <c r="I820" s="52">
        <v>10613.69</v>
      </c>
      <c r="J820" s="42"/>
      <c r="K820" s="42"/>
      <c r="L820" s="201"/>
    </row>
    <row r="821" spans="1:12" ht="48" customHeight="1" outlineLevel="1" x14ac:dyDescent="0.2">
      <c r="A821" s="51" t="s">
        <v>212</v>
      </c>
      <c r="B821" s="107">
        <v>42767</v>
      </c>
      <c r="C821" s="107" t="s">
        <v>1189</v>
      </c>
      <c r="D821" s="108"/>
      <c r="E821" s="163"/>
      <c r="F821" s="163">
        <v>12705.42</v>
      </c>
      <c r="G821" s="164"/>
      <c r="H821" s="52">
        <f t="shared" si="60"/>
        <v>12705.42</v>
      </c>
      <c r="I821" s="52">
        <v>12705.42</v>
      </c>
      <c r="J821" s="42"/>
      <c r="K821" s="42"/>
      <c r="L821" s="201"/>
    </row>
    <row r="822" spans="1:12" ht="51.75" customHeight="1" x14ac:dyDescent="0.2">
      <c r="A822" s="61"/>
      <c r="B822" s="103"/>
      <c r="C822" s="103"/>
      <c r="D822" s="194"/>
      <c r="E822" s="68">
        <f>SUM(E771:E821)</f>
        <v>126510.63</v>
      </c>
      <c r="F822" s="68">
        <f>SUM(F771:F821)</f>
        <v>709005.54999999993</v>
      </c>
      <c r="G822" s="68">
        <f>SUM(G770:G809)</f>
        <v>0</v>
      </c>
      <c r="H822" s="58">
        <f>SUM(H771:H821)</f>
        <v>835516.17999999982</v>
      </c>
      <c r="I822" s="58">
        <f>SUM(I771:I821)</f>
        <v>835516.17999999982</v>
      </c>
      <c r="J822" s="81"/>
      <c r="K822" s="149"/>
      <c r="L822" s="201"/>
    </row>
    <row r="823" spans="1:12" ht="21.75" customHeight="1" x14ac:dyDescent="0.2">
      <c r="A823" s="18"/>
      <c r="B823" s="103"/>
      <c r="C823" s="103"/>
      <c r="D823" s="194"/>
      <c r="E823" s="14"/>
      <c r="F823" s="14"/>
      <c r="G823" s="14"/>
      <c r="H823" s="58"/>
      <c r="I823" s="58"/>
      <c r="J823" s="83"/>
      <c r="K823" s="75"/>
      <c r="L823" s="201"/>
    </row>
    <row r="824" spans="1:12" s="54" customFormat="1" ht="24" x14ac:dyDescent="0.2">
      <c r="A824" s="44" t="s">
        <v>800</v>
      </c>
      <c r="B824" s="103"/>
      <c r="C824" s="103"/>
      <c r="D824" s="194"/>
      <c r="E824" s="68"/>
      <c r="F824" s="68"/>
      <c r="G824" s="68"/>
      <c r="H824" s="58"/>
      <c r="I824" s="58"/>
      <c r="J824" s="81"/>
      <c r="K824" s="149"/>
      <c r="L824" s="208"/>
    </row>
    <row r="825" spans="1:12" s="54" customFormat="1" ht="24" outlineLevel="1" x14ac:dyDescent="0.2">
      <c r="A825" s="18" t="s">
        <v>561</v>
      </c>
      <c r="B825" s="103">
        <v>43069</v>
      </c>
      <c r="C825" s="103">
        <v>43465</v>
      </c>
      <c r="D825" s="194">
        <v>50</v>
      </c>
      <c r="E825" s="70">
        <f>30468.66+3842.09</f>
        <v>34310.75</v>
      </c>
      <c r="F825" s="70">
        <f>11400.96+3300.92</f>
        <v>14701.88</v>
      </c>
      <c r="G825" s="14">
        <v>0</v>
      </c>
      <c r="H825" s="58">
        <f>E825+F825+G825</f>
        <v>49012.63</v>
      </c>
      <c r="I825" s="58">
        <f>H825</f>
        <v>49012.63</v>
      </c>
      <c r="J825" s="126"/>
      <c r="K825" s="81"/>
      <c r="L825" s="208"/>
    </row>
    <row r="826" spans="1:12" s="54" customFormat="1" outlineLevel="1" x14ac:dyDescent="0.2">
      <c r="A826" s="159" t="s">
        <v>1302</v>
      </c>
      <c r="B826" s="103">
        <v>43281</v>
      </c>
      <c r="C826" s="103">
        <v>43465</v>
      </c>
      <c r="D826" s="194">
        <v>50</v>
      </c>
      <c r="E826" s="70">
        <v>8936.64</v>
      </c>
      <c r="F826" s="70"/>
      <c r="G826" s="14"/>
      <c r="H826" s="58">
        <f t="shared" ref="H826:H889" si="61">E826+F826+G826</f>
        <v>8936.64</v>
      </c>
      <c r="I826" s="58">
        <f>H826</f>
        <v>8936.64</v>
      </c>
      <c r="J826" s="126"/>
      <c r="K826" s="81"/>
      <c r="L826" s="208"/>
    </row>
    <row r="827" spans="1:12" s="54" customFormat="1" ht="24" outlineLevel="1" x14ac:dyDescent="0.2">
      <c r="A827" s="51" t="s">
        <v>1303</v>
      </c>
      <c r="B827" s="103">
        <v>43220</v>
      </c>
      <c r="C827" s="103">
        <v>43465</v>
      </c>
      <c r="D827" s="194">
        <v>50</v>
      </c>
      <c r="E827" s="70">
        <v>11503.11</v>
      </c>
      <c r="F827" s="70">
        <v>34621.03</v>
      </c>
      <c r="G827" s="14"/>
      <c r="H827" s="58">
        <f t="shared" si="61"/>
        <v>46124.14</v>
      </c>
      <c r="I827" s="58">
        <f>H827</f>
        <v>46124.14</v>
      </c>
      <c r="J827" s="126"/>
      <c r="K827" s="81"/>
      <c r="L827" s="208"/>
    </row>
    <row r="828" spans="1:12" s="54" customFormat="1" outlineLevel="1" x14ac:dyDescent="0.2">
      <c r="A828" s="93" t="s">
        <v>562</v>
      </c>
      <c r="B828" s="103">
        <v>42971</v>
      </c>
      <c r="C828" s="103">
        <v>43465</v>
      </c>
      <c r="D828" s="194">
        <v>50</v>
      </c>
      <c r="E828" s="14">
        <v>0</v>
      </c>
      <c r="F828" s="14">
        <v>8963.49</v>
      </c>
      <c r="G828" s="14">
        <v>0</v>
      </c>
      <c r="H828" s="58">
        <f t="shared" si="61"/>
        <v>8963.49</v>
      </c>
      <c r="I828" s="58">
        <f t="shared" ref="I828:I879" si="62">H828</f>
        <v>8963.49</v>
      </c>
      <c r="J828" s="126"/>
      <c r="K828" s="81"/>
      <c r="L828" s="208"/>
    </row>
    <row r="829" spans="1:12" s="54" customFormat="1" outlineLevel="1" x14ac:dyDescent="0.2">
      <c r="A829" s="51" t="s">
        <v>1304</v>
      </c>
      <c r="B829" s="103">
        <v>43207</v>
      </c>
      <c r="C829" s="103">
        <v>43465</v>
      </c>
      <c r="D829" s="194">
        <v>50</v>
      </c>
      <c r="E829" s="14">
        <v>11784.94</v>
      </c>
      <c r="F829" s="14">
        <v>36669.86</v>
      </c>
      <c r="G829" s="14"/>
      <c r="H829" s="58">
        <f t="shared" si="61"/>
        <v>48454.8</v>
      </c>
      <c r="I829" s="58">
        <f t="shared" si="62"/>
        <v>48454.8</v>
      </c>
      <c r="J829" s="126"/>
      <c r="K829" s="81"/>
      <c r="L829" s="208"/>
    </row>
    <row r="830" spans="1:12" s="54" customFormat="1" outlineLevel="1" x14ac:dyDescent="0.2">
      <c r="A830" s="93" t="s">
        <v>563</v>
      </c>
      <c r="B830" s="103">
        <v>43125</v>
      </c>
      <c r="C830" s="103">
        <v>43465</v>
      </c>
      <c r="D830" s="194">
        <v>30</v>
      </c>
      <c r="E830" s="14">
        <v>0</v>
      </c>
      <c r="F830" s="14">
        <f>10987.61+37339.33</f>
        <v>48326.94</v>
      </c>
      <c r="G830" s="14">
        <v>0</v>
      </c>
      <c r="H830" s="58">
        <f t="shared" si="61"/>
        <v>48326.94</v>
      </c>
      <c r="I830" s="58">
        <f>H830</f>
        <v>48326.94</v>
      </c>
      <c r="J830" s="126"/>
      <c r="K830" s="81"/>
      <c r="L830" s="208"/>
    </row>
    <row r="831" spans="1:12" s="54" customFormat="1" outlineLevel="1" x14ac:dyDescent="0.2">
      <c r="A831" s="94" t="s">
        <v>564</v>
      </c>
      <c r="B831" s="103">
        <v>43095</v>
      </c>
      <c r="C831" s="103">
        <v>43465</v>
      </c>
      <c r="D831" s="194">
        <v>70</v>
      </c>
      <c r="E831" s="14">
        <v>41719.5</v>
      </c>
      <c r="F831" s="14">
        <v>6953</v>
      </c>
      <c r="G831" s="14">
        <v>0</v>
      </c>
      <c r="H831" s="58">
        <f t="shared" si="61"/>
        <v>48672.5</v>
      </c>
      <c r="I831" s="58">
        <f t="shared" si="62"/>
        <v>48672.5</v>
      </c>
      <c r="J831" s="126"/>
      <c r="K831" s="81"/>
      <c r="L831" s="208"/>
    </row>
    <row r="832" spans="1:12" s="54" customFormat="1" outlineLevel="1" x14ac:dyDescent="0.2">
      <c r="A832" s="93" t="s">
        <v>565</v>
      </c>
      <c r="B832" s="103">
        <v>43095</v>
      </c>
      <c r="C832" s="103">
        <v>43465</v>
      </c>
      <c r="D832" s="194">
        <v>70</v>
      </c>
      <c r="E832" s="14">
        <v>45659.32</v>
      </c>
      <c r="F832" s="14">
        <v>6953</v>
      </c>
      <c r="G832" s="14">
        <v>0</v>
      </c>
      <c r="H832" s="58">
        <f t="shared" si="61"/>
        <v>52612.32</v>
      </c>
      <c r="I832" s="58">
        <f t="shared" si="62"/>
        <v>52612.32</v>
      </c>
      <c r="J832" s="126"/>
      <c r="K832" s="81"/>
      <c r="L832" s="208"/>
    </row>
    <row r="833" spans="1:12" s="54" customFormat="1" outlineLevel="1" x14ac:dyDescent="0.2">
      <c r="A833" s="93" t="s">
        <v>566</v>
      </c>
      <c r="B833" s="103">
        <v>43095</v>
      </c>
      <c r="C833" s="103">
        <v>43465</v>
      </c>
      <c r="D833" s="194">
        <v>50</v>
      </c>
      <c r="E833" s="14">
        <v>47443.22</v>
      </c>
      <c r="F833" s="14">
        <v>6953</v>
      </c>
      <c r="G833" s="14">
        <v>0</v>
      </c>
      <c r="H833" s="58">
        <f t="shared" si="61"/>
        <v>54396.22</v>
      </c>
      <c r="I833" s="58">
        <f t="shared" si="62"/>
        <v>54396.22</v>
      </c>
      <c r="J833" s="126"/>
      <c r="K833" s="81"/>
      <c r="L833" s="208"/>
    </row>
    <row r="834" spans="1:12" s="54" customFormat="1" outlineLevel="1" x14ac:dyDescent="0.2">
      <c r="A834" s="93" t="s">
        <v>567</v>
      </c>
      <c r="B834" s="103">
        <v>43067</v>
      </c>
      <c r="C834" s="103">
        <v>43465</v>
      </c>
      <c r="D834" s="194">
        <v>70</v>
      </c>
      <c r="E834" s="14">
        <v>43944.07</v>
      </c>
      <c r="F834" s="14">
        <v>6953</v>
      </c>
      <c r="G834" s="14">
        <v>0</v>
      </c>
      <c r="H834" s="58">
        <f t="shared" si="61"/>
        <v>50897.07</v>
      </c>
      <c r="I834" s="58">
        <f t="shared" si="62"/>
        <v>50897.07</v>
      </c>
      <c r="J834" s="126"/>
      <c r="K834" s="81"/>
      <c r="L834" s="208"/>
    </row>
    <row r="835" spans="1:12" s="54" customFormat="1" outlineLevel="1" x14ac:dyDescent="0.2">
      <c r="A835" s="93" t="s">
        <v>568</v>
      </c>
      <c r="B835" s="103">
        <v>43096</v>
      </c>
      <c r="C835" s="103">
        <v>43465</v>
      </c>
      <c r="D835" s="194">
        <v>50</v>
      </c>
      <c r="E835" s="14">
        <v>50270.34</v>
      </c>
      <c r="F835" s="14">
        <v>6953</v>
      </c>
      <c r="G835" s="14">
        <v>0</v>
      </c>
      <c r="H835" s="58">
        <f t="shared" si="61"/>
        <v>57223.34</v>
      </c>
      <c r="I835" s="58">
        <f t="shared" si="62"/>
        <v>57223.34</v>
      </c>
      <c r="J835" s="126"/>
      <c r="K835" s="81"/>
      <c r="L835" s="208"/>
    </row>
    <row r="836" spans="1:12" s="54" customFormat="1" outlineLevel="1" x14ac:dyDescent="0.2">
      <c r="A836" s="93" t="s">
        <v>569</v>
      </c>
      <c r="B836" s="103">
        <v>43084</v>
      </c>
      <c r="C836" s="103">
        <v>43465</v>
      </c>
      <c r="D836" s="194">
        <v>60</v>
      </c>
      <c r="E836" s="14">
        <v>43594.07</v>
      </c>
      <c r="F836" s="14">
        <v>6953</v>
      </c>
      <c r="G836" s="14">
        <v>0</v>
      </c>
      <c r="H836" s="58">
        <f t="shared" si="61"/>
        <v>50547.07</v>
      </c>
      <c r="I836" s="58">
        <f t="shared" si="62"/>
        <v>50547.07</v>
      </c>
      <c r="J836" s="126"/>
      <c r="K836" s="81"/>
      <c r="L836" s="208"/>
    </row>
    <row r="837" spans="1:12" s="54" customFormat="1" ht="24" outlineLevel="1" x14ac:dyDescent="0.2">
      <c r="A837" s="93" t="s">
        <v>570</v>
      </c>
      <c r="B837" s="103">
        <v>42999</v>
      </c>
      <c r="C837" s="103">
        <v>43465</v>
      </c>
      <c r="D837" s="194">
        <v>85</v>
      </c>
      <c r="E837" s="70">
        <v>25391.48</v>
      </c>
      <c r="F837" s="70">
        <v>10582.83</v>
      </c>
      <c r="G837" s="14">
        <v>0</v>
      </c>
      <c r="H837" s="58">
        <f t="shared" si="61"/>
        <v>35974.31</v>
      </c>
      <c r="I837" s="58">
        <f t="shared" si="62"/>
        <v>35974.31</v>
      </c>
      <c r="J837" s="126"/>
      <c r="K837" s="81"/>
      <c r="L837" s="208"/>
    </row>
    <row r="838" spans="1:12" s="54" customFormat="1" ht="24" outlineLevel="1" x14ac:dyDescent="0.2">
      <c r="A838" s="51" t="s">
        <v>1305</v>
      </c>
      <c r="B838" s="103">
        <v>43245</v>
      </c>
      <c r="C838" s="103">
        <v>43465</v>
      </c>
      <c r="D838" s="194">
        <v>50</v>
      </c>
      <c r="E838" s="70"/>
      <c r="F838" s="70">
        <v>42669.49</v>
      </c>
      <c r="G838" s="14"/>
      <c r="H838" s="58">
        <f t="shared" si="61"/>
        <v>42669.49</v>
      </c>
      <c r="I838" s="58">
        <f t="shared" si="62"/>
        <v>42669.49</v>
      </c>
      <c r="J838" s="126"/>
      <c r="K838" s="81"/>
      <c r="L838" s="208"/>
    </row>
    <row r="839" spans="1:12" s="54" customFormat="1" ht="24" outlineLevel="1" x14ac:dyDescent="0.2">
      <c r="A839" s="93" t="s">
        <v>571</v>
      </c>
      <c r="B839" s="103">
        <v>43056</v>
      </c>
      <c r="C839" s="103">
        <v>43465</v>
      </c>
      <c r="D839" s="194">
        <v>80</v>
      </c>
      <c r="E839" s="14">
        <v>44124.58</v>
      </c>
      <c r="F839" s="14">
        <v>6953</v>
      </c>
      <c r="G839" s="14">
        <v>0</v>
      </c>
      <c r="H839" s="58">
        <f t="shared" si="61"/>
        <v>51077.58</v>
      </c>
      <c r="I839" s="58">
        <f t="shared" si="62"/>
        <v>51077.58</v>
      </c>
      <c r="J839" s="126"/>
      <c r="K839" s="81"/>
      <c r="L839" s="208"/>
    </row>
    <row r="840" spans="1:12" s="54" customFormat="1" ht="24" outlineLevel="1" x14ac:dyDescent="0.2">
      <c r="A840" s="51" t="s">
        <v>1306</v>
      </c>
      <c r="B840" s="103">
        <v>43234</v>
      </c>
      <c r="C840" s="103">
        <v>43465</v>
      </c>
      <c r="D840" s="194">
        <v>50</v>
      </c>
      <c r="E840" s="14">
        <v>6953</v>
      </c>
      <c r="F840" s="14"/>
      <c r="G840" s="14"/>
      <c r="H840" s="58">
        <f t="shared" si="61"/>
        <v>6953</v>
      </c>
      <c r="I840" s="58">
        <f t="shared" si="62"/>
        <v>6953</v>
      </c>
      <c r="J840" s="126"/>
      <c r="K840" s="81"/>
      <c r="L840" s="208"/>
    </row>
    <row r="841" spans="1:12" s="54" customFormat="1" ht="24" outlineLevel="1" x14ac:dyDescent="0.2">
      <c r="A841" s="93" t="s">
        <v>572</v>
      </c>
      <c r="B841" s="103">
        <v>43171</v>
      </c>
      <c r="C841" s="103">
        <v>43465</v>
      </c>
      <c r="D841" s="194">
        <v>50</v>
      </c>
      <c r="E841" s="14">
        <v>0</v>
      </c>
      <c r="F841" s="14">
        <f>6953+42538.98</f>
        <v>49491.98</v>
      </c>
      <c r="G841" s="14">
        <v>0</v>
      </c>
      <c r="H841" s="58">
        <f t="shared" si="61"/>
        <v>49491.98</v>
      </c>
      <c r="I841" s="58">
        <f t="shared" si="62"/>
        <v>49491.98</v>
      </c>
      <c r="J841" s="126"/>
      <c r="K841" s="81"/>
      <c r="L841" s="208"/>
    </row>
    <row r="842" spans="1:12" s="54" customFormat="1" ht="24" outlineLevel="1" x14ac:dyDescent="0.2">
      <c r="A842" s="93" t="s">
        <v>573</v>
      </c>
      <c r="B842" s="103">
        <v>43055</v>
      </c>
      <c r="C842" s="103">
        <v>43465</v>
      </c>
      <c r="D842" s="194">
        <v>80</v>
      </c>
      <c r="E842" s="14">
        <v>46978.81</v>
      </c>
      <c r="F842" s="14">
        <v>6953</v>
      </c>
      <c r="G842" s="14">
        <v>0</v>
      </c>
      <c r="H842" s="58">
        <f t="shared" si="61"/>
        <v>53931.81</v>
      </c>
      <c r="I842" s="58">
        <f t="shared" si="62"/>
        <v>53931.81</v>
      </c>
      <c r="J842" s="126"/>
      <c r="K842" s="81"/>
      <c r="L842" s="208"/>
    </row>
    <row r="843" spans="1:12" s="54" customFormat="1" ht="24" outlineLevel="1" x14ac:dyDescent="0.2">
      <c r="A843" s="93" t="s">
        <v>574</v>
      </c>
      <c r="B843" s="103">
        <v>43171</v>
      </c>
      <c r="C843" s="103">
        <v>43465</v>
      </c>
      <c r="D843" s="194">
        <v>50</v>
      </c>
      <c r="E843" s="14">
        <v>0</v>
      </c>
      <c r="F843" s="14">
        <v>6953</v>
      </c>
      <c r="G843" s="14">
        <v>0</v>
      </c>
      <c r="H843" s="58">
        <f t="shared" si="61"/>
        <v>6953</v>
      </c>
      <c r="I843" s="58">
        <f t="shared" si="62"/>
        <v>6953</v>
      </c>
      <c r="J843" s="126"/>
      <c r="K843" s="81"/>
      <c r="L843" s="208"/>
    </row>
    <row r="844" spans="1:12" s="54" customFormat="1" ht="24" outlineLevel="1" x14ac:dyDescent="0.2">
      <c r="A844" s="93" t="s">
        <v>575</v>
      </c>
      <c r="B844" s="104">
        <v>42958</v>
      </c>
      <c r="C844" s="103">
        <v>43465</v>
      </c>
      <c r="D844" s="194">
        <v>50</v>
      </c>
      <c r="E844" s="14">
        <v>0</v>
      </c>
      <c r="F844" s="14">
        <v>6435.7</v>
      </c>
      <c r="G844" s="14">
        <v>0</v>
      </c>
      <c r="H844" s="58">
        <f t="shared" si="61"/>
        <v>6435.7</v>
      </c>
      <c r="I844" s="58">
        <f t="shared" si="62"/>
        <v>6435.7</v>
      </c>
      <c r="J844" s="126"/>
      <c r="K844" s="81"/>
      <c r="L844" s="208"/>
    </row>
    <row r="845" spans="1:12" s="54" customFormat="1" ht="24" outlineLevel="1" x14ac:dyDescent="0.2">
      <c r="A845" s="51" t="s">
        <v>1307</v>
      </c>
      <c r="B845" s="104">
        <v>43281</v>
      </c>
      <c r="C845" s="103">
        <v>43465</v>
      </c>
      <c r="D845" s="194">
        <v>50</v>
      </c>
      <c r="E845" s="14">
        <v>8791.66</v>
      </c>
      <c r="F845" s="14"/>
      <c r="G845" s="14"/>
      <c r="H845" s="58">
        <f t="shared" si="61"/>
        <v>8791.66</v>
      </c>
      <c r="I845" s="58">
        <f t="shared" si="62"/>
        <v>8791.66</v>
      </c>
      <c r="J845" s="126"/>
      <c r="K845" s="81"/>
      <c r="L845" s="208"/>
    </row>
    <row r="846" spans="1:12" s="54" customFormat="1" ht="24" outlineLevel="1" x14ac:dyDescent="0.2">
      <c r="A846" s="51" t="s">
        <v>1308</v>
      </c>
      <c r="B846" s="104">
        <v>43249</v>
      </c>
      <c r="C846" s="103">
        <v>43465</v>
      </c>
      <c r="D846" s="194">
        <v>50</v>
      </c>
      <c r="E846" s="14">
        <v>8187.4</v>
      </c>
      <c r="F846" s="14">
        <v>34607.64</v>
      </c>
      <c r="G846" s="14"/>
      <c r="H846" s="58">
        <f t="shared" si="61"/>
        <v>42795.040000000001</v>
      </c>
      <c r="I846" s="58">
        <f t="shared" si="62"/>
        <v>42795.040000000001</v>
      </c>
      <c r="J846" s="126"/>
      <c r="K846" s="81"/>
      <c r="L846" s="208"/>
    </row>
    <row r="847" spans="1:12" s="54" customFormat="1" ht="24" outlineLevel="1" x14ac:dyDescent="0.2">
      <c r="A847" s="51" t="s">
        <v>1309</v>
      </c>
      <c r="B847" s="104">
        <v>43281</v>
      </c>
      <c r="C847" s="103">
        <v>43465</v>
      </c>
      <c r="D847" s="194">
        <v>50</v>
      </c>
      <c r="E847" s="14">
        <v>8833.33</v>
      </c>
      <c r="F847" s="14"/>
      <c r="G847" s="14"/>
      <c r="H847" s="58">
        <f t="shared" si="61"/>
        <v>8833.33</v>
      </c>
      <c r="I847" s="58">
        <f t="shared" si="62"/>
        <v>8833.33</v>
      </c>
      <c r="J847" s="126"/>
      <c r="K847" s="81"/>
      <c r="L847" s="208"/>
    </row>
    <row r="848" spans="1:12" s="54" customFormat="1" ht="24" outlineLevel="1" x14ac:dyDescent="0.2">
      <c r="A848" s="93" t="s">
        <v>576</v>
      </c>
      <c r="B848" s="103">
        <v>43171</v>
      </c>
      <c r="C848" s="103">
        <v>43465</v>
      </c>
      <c r="D848" s="194">
        <v>50</v>
      </c>
      <c r="E848" s="14">
        <v>0</v>
      </c>
      <c r="F848" s="14">
        <f>6953+47593.22</f>
        <v>54546.22</v>
      </c>
      <c r="G848" s="14">
        <v>0</v>
      </c>
      <c r="H848" s="58">
        <f t="shared" si="61"/>
        <v>54546.22</v>
      </c>
      <c r="I848" s="58">
        <f t="shared" si="62"/>
        <v>54546.22</v>
      </c>
      <c r="J848" s="126"/>
      <c r="K848" s="81"/>
      <c r="L848" s="208"/>
    </row>
    <row r="849" spans="1:12" s="54" customFormat="1" ht="24" outlineLevel="1" x14ac:dyDescent="0.2">
      <c r="A849" s="93" t="s">
        <v>577</v>
      </c>
      <c r="B849" s="103">
        <v>43136</v>
      </c>
      <c r="C849" s="103">
        <v>43465</v>
      </c>
      <c r="D849" s="194">
        <v>60</v>
      </c>
      <c r="E849" s="14">
        <v>6953</v>
      </c>
      <c r="F849" s="14">
        <v>45304.24</v>
      </c>
      <c r="G849" s="14">
        <v>0</v>
      </c>
      <c r="H849" s="58">
        <f t="shared" si="61"/>
        <v>52257.24</v>
      </c>
      <c r="I849" s="58">
        <f t="shared" si="62"/>
        <v>52257.24</v>
      </c>
      <c r="J849" s="126"/>
      <c r="K849" s="81"/>
      <c r="L849" s="208"/>
    </row>
    <row r="850" spans="1:12" s="54" customFormat="1" ht="24" outlineLevel="1" x14ac:dyDescent="0.2">
      <c r="A850" s="93" t="s">
        <v>578</v>
      </c>
      <c r="B850" s="103">
        <v>43171</v>
      </c>
      <c r="C850" s="103">
        <v>43465</v>
      </c>
      <c r="D850" s="194">
        <v>50</v>
      </c>
      <c r="E850" s="14">
        <v>6953</v>
      </c>
      <c r="F850" s="14">
        <v>53029.66</v>
      </c>
      <c r="G850" s="14">
        <v>0</v>
      </c>
      <c r="H850" s="58">
        <f t="shared" si="61"/>
        <v>59982.66</v>
      </c>
      <c r="I850" s="58">
        <f t="shared" si="62"/>
        <v>59982.66</v>
      </c>
      <c r="J850" s="126"/>
      <c r="K850" s="81"/>
      <c r="L850" s="208"/>
    </row>
    <row r="851" spans="1:12" s="54" customFormat="1" ht="24" outlineLevel="1" x14ac:dyDescent="0.2">
      <c r="A851" s="51" t="s">
        <v>1310</v>
      </c>
      <c r="B851" s="103">
        <v>43234</v>
      </c>
      <c r="C851" s="103">
        <v>43465</v>
      </c>
      <c r="D851" s="194">
        <v>50</v>
      </c>
      <c r="E851" s="14">
        <v>6953</v>
      </c>
      <c r="F851" s="14"/>
      <c r="G851" s="14"/>
      <c r="H851" s="58">
        <f t="shared" si="61"/>
        <v>6953</v>
      </c>
      <c r="I851" s="58">
        <f t="shared" si="62"/>
        <v>6953</v>
      </c>
      <c r="J851" s="126"/>
      <c r="K851" s="81"/>
      <c r="L851" s="208"/>
    </row>
    <row r="852" spans="1:12" s="54" customFormat="1" ht="24" outlineLevel="1" x14ac:dyDescent="0.2">
      <c r="A852" s="51" t="s">
        <v>1311</v>
      </c>
      <c r="B852" s="103">
        <v>43251</v>
      </c>
      <c r="C852" s="103">
        <v>43465</v>
      </c>
      <c r="D852" s="194">
        <v>50</v>
      </c>
      <c r="E852" s="14">
        <v>10920.91</v>
      </c>
      <c r="F852" s="14">
        <v>31599.15</v>
      </c>
      <c r="G852" s="14"/>
      <c r="H852" s="58">
        <f t="shared" si="61"/>
        <v>42520.06</v>
      </c>
      <c r="I852" s="58">
        <f t="shared" si="62"/>
        <v>42520.06</v>
      </c>
      <c r="J852" s="126"/>
      <c r="K852" s="81"/>
      <c r="L852" s="208"/>
    </row>
    <row r="853" spans="1:12" s="54" customFormat="1" ht="24" outlineLevel="1" x14ac:dyDescent="0.2">
      <c r="A853" s="93" t="s">
        <v>579</v>
      </c>
      <c r="B853" s="103">
        <v>43060</v>
      </c>
      <c r="C853" s="103">
        <v>43125</v>
      </c>
      <c r="D853" s="194">
        <v>95</v>
      </c>
      <c r="E853" s="70">
        <f>24161.19+3420.94</f>
        <v>27582.129999999997</v>
      </c>
      <c r="F853" s="70">
        <f>10188.16+6827.08</f>
        <v>17015.239999999998</v>
      </c>
      <c r="G853" s="14">
        <v>0</v>
      </c>
      <c r="H853" s="58">
        <f t="shared" si="61"/>
        <v>44597.369999999995</v>
      </c>
      <c r="I853" s="58">
        <f t="shared" si="62"/>
        <v>44597.369999999995</v>
      </c>
      <c r="J853" s="126"/>
      <c r="K853" s="81"/>
      <c r="L853" s="208"/>
    </row>
    <row r="854" spans="1:12" s="54" customFormat="1" ht="24" outlineLevel="1" x14ac:dyDescent="0.2">
      <c r="A854" s="93" t="s">
        <v>580</v>
      </c>
      <c r="B854" s="103">
        <v>43005</v>
      </c>
      <c r="C854" s="103">
        <v>43465</v>
      </c>
      <c r="D854" s="194">
        <v>40</v>
      </c>
      <c r="E854" s="14">
        <v>0</v>
      </c>
      <c r="F854" s="14">
        <v>13586.56</v>
      </c>
      <c r="G854" s="14">
        <v>0</v>
      </c>
      <c r="H854" s="58">
        <f t="shared" si="61"/>
        <v>13586.56</v>
      </c>
      <c r="I854" s="58">
        <f t="shared" si="62"/>
        <v>13586.56</v>
      </c>
      <c r="J854" s="126"/>
      <c r="K854" s="81"/>
      <c r="L854" s="208"/>
    </row>
    <row r="855" spans="1:12" s="54" customFormat="1" ht="24" outlineLevel="1" x14ac:dyDescent="0.2">
      <c r="A855" s="93" t="s">
        <v>581</v>
      </c>
      <c r="B855" s="103">
        <v>43017</v>
      </c>
      <c r="C855" s="103">
        <v>43115</v>
      </c>
      <c r="D855" s="194">
        <v>90</v>
      </c>
      <c r="E855" s="70">
        <v>27964.240000000002</v>
      </c>
      <c r="F855" s="70">
        <v>8095.6</v>
      </c>
      <c r="G855" s="14">
        <v>0</v>
      </c>
      <c r="H855" s="58">
        <f t="shared" si="61"/>
        <v>36059.840000000004</v>
      </c>
      <c r="I855" s="58">
        <f t="shared" si="62"/>
        <v>36059.840000000004</v>
      </c>
      <c r="J855" s="126"/>
      <c r="K855" s="81"/>
      <c r="L855" s="208"/>
    </row>
    <row r="856" spans="1:12" s="54" customFormat="1" outlineLevel="1" x14ac:dyDescent="0.2">
      <c r="A856" s="93" t="s">
        <v>582</v>
      </c>
      <c r="B856" s="103">
        <v>42975</v>
      </c>
      <c r="C856" s="103">
        <v>43465</v>
      </c>
      <c r="D856" s="194">
        <v>45</v>
      </c>
      <c r="E856" s="14">
        <v>0</v>
      </c>
      <c r="F856" s="14">
        <v>10083.700000000001</v>
      </c>
      <c r="G856" s="14">
        <v>0</v>
      </c>
      <c r="H856" s="58">
        <f t="shared" si="61"/>
        <v>10083.700000000001</v>
      </c>
      <c r="I856" s="58">
        <f t="shared" si="62"/>
        <v>10083.700000000001</v>
      </c>
      <c r="J856" s="126"/>
      <c r="K856" s="81"/>
      <c r="L856" s="208"/>
    </row>
    <row r="857" spans="1:12" s="54" customFormat="1" ht="24" outlineLevel="1" x14ac:dyDescent="0.2">
      <c r="A857" s="93" t="s">
        <v>583</v>
      </c>
      <c r="B857" s="103">
        <v>43024</v>
      </c>
      <c r="C857" s="103">
        <v>43465</v>
      </c>
      <c r="D857" s="194">
        <v>70</v>
      </c>
      <c r="E857" s="14">
        <v>0</v>
      </c>
      <c r="F857" s="14">
        <v>6461.66</v>
      </c>
      <c r="G857" s="14">
        <v>0</v>
      </c>
      <c r="H857" s="58">
        <f t="shared" si="61"/>
        <v>6461.66</v>
      </c>
      <c r="I857" s="58">
        <f t="shared" si="62"/>
        <v>6461.66</v>
      </c>
      <c r="J857" s="126"/>
      <c r="K857" s="81"/>
      <c r="L857" s="208"/>
    </row>
    <row r="858" spans="1:12" s="54" customFormat="1" ht="24" outlineLevel="1" x14ac:dyDescent="0.2">
      <c r="A858" s="93" t="s">
        <v>584</v>
      </c>
      <c r="B858" s="103">
        <v>42984</v>
      </c>
      <c r="C858" s="103">
        <v>43465</v>
      </c>
      <c r="D858" s="194">
        <v>90</v>
      </c>
      <c r="E858" s="70">
        <f>24030.97+3842.09</f>
        <v>27873.06</v>
      </c>
      <c r="F858" s="70">
        <f>6461.66+9577.8</f>
        <v>16039.46</v>
      </c>
      <c r="G858" s="14">
        <v>0</v>
      </c>
      <c r="H858" s="58">
        <f t="shared" si="61"/>
        <v>43912.520000000004</v>
      </c>
      <c r="I858" s="58">
        <f t="shared" si="62"/>
        <v>43912.520000000004</v>
      </c>
      <c r="J858" s="126"/>
      <c r="K858" s="81"/>
      <c r="L858" s="208"/>
    </row>
    <row r="859" spans="1:12" s="54" customFormat="1" ht="24" outlineLevel="1" x14ac:dyDescent="0.2">
      <c r="A859" s="93" t="s">
        <v>585</v>
      </c>
      <c r="B859" s="103">
        <v>43091</v>
      </c>
      <c r="C859" s="103">
        <v>43465</v>
      </c>
      <c r="D859" s="194">
        <v>85</v>
      </c>
      <c r="E859" s="70">
        <v>43472.03</v>
      </c>
      <c r="F859" s="14">
        <v>6953</v>
      </c>
      <c r="G859" s="14">
        <v>0</v>
      </c>
      <c r="H859" s="58">
        <f t="shared" si="61"/>
        <v>50425.03</v>
      </c>
      <c r="I859" s="58">
        <f t="shared" si="62"/>
        <v>50425.03</v>
      </c>
      <c r="J859" s="126"/>
      <c r="K859" s="81"/>
      <c r="L859" s="208"/>
    </row>
    <row r="860" spans="1:12" s="54" customFormat="1" ht="24" outlineLevel="1" x14ac:dyDescent="0.2">
      <c r="A860" s="93" t="s">
        <v>586</v>
      </c>
      <c r="B860" s="103">
        <v>43056</v>
      </c>
      <c r="C860" s="103">
        <v>43465</v>
      </c>
      <c r="D860" s="194">
        <v>85</v>
      </c>
      <c r="E860" s="14">
        <v>47921.19</v>
      </c>
      <c r="F860" s="14">
        <f>6953+1007.44</f>
        <v>7960.4400000000005</v>
      </c>
      <c r="G860" s="14">
        <v>0</v>
      </c>
      <c r="H860" s="58">
        <f t="shared" si="61"/>
        <v>55881.630000000005</v>
      </c>
      <c r="I860" s="58">
        <f t="shared" si="62"/>
        <v>55881.630000000005</v>
      </c>
      <c r="J860" s="126"/>
      <c r="K860" s="81"/>
      <c r="L860" s="208"/>
    </row>
    <row r="861" spans="1:12" s="54" customFormat="1" ht="24" outlineLevel="1" x14ac:dyDescent="0.2">
      <c r="A861" s="93" t="s">
        <v>587</v>
      </c>
      <c r="B861" s="103">
        <v>43171</v>
      </c>
      <c r="C861" s="103">
        <v>43465</v>
      </c>
      <c r="D861" s="194">
        <v>50</v>
      </c>
      <c r="E861" s="14">
        <v>6953</v>
      </c>
      <c r="F861" s="14">
        <v>49105.93</v>
      </c>
      <c r="G861" s="14">
        <v>0</v>
      </c>
      <c r="H861" s="58">
        <f t="shared" si="61"/>
        <v>56058.93</v>
      </c>
      <c r="I861" s="58">
        <f t="shared" si="62"/>
        <v>56058.93</v>
      </c>
      <c r="J861" s="126"/>
      <c r="K861" s="81"/>
      <c r="L861" s="208"/>
    </row>
    <row r="862" spans="1:12" s="54" customFormat="1" ht="24" outlineLevel="1" x14ac:dyDescent="0.2">
      <c r="A862" s="93" t="s">
        <v>588</v>
      </c>
      <c r="B862" s="103">
        <v>43133</v>
      </c>
      <c r="C862" s="103">
        <v>43465</v>
      </c>
      <c r="D862" s="194">
        <v>50</v>
      </c>
      <c r="E862" s="14">
        <v>6953</v>
      </c>
      <c r="F862" s="14">
        <v>47670.34</v>
      </c>
      <c r="G862" s="14">
        <v>0</v>
      </c>
      <c r="H862" s="58">
        <f t="shared" si="61"/>
        <v>54623.34</v>
      </c>
      <c r="I862" s="58">
        <f t="shared" si="62"/>
        <v>54623.34</v>
      </c>
      <c r="J862" s="126"/>
      <c r="K862" s="81"/>
      <c r="L862" s="208"/>
    </row>
    <row r="863" spans="1:12" s="54" customFormat="1" ht="24" outlineLevel="1" x14ac:dyDescent="0.2">
      <c r="A863" s="51" t="s">
        <v>1312</v>
      </c>
      <c r="B863" s="103">
        <v>43251</v>
      </c>
      <c r="C863" s="103">
        <v>43465</v>
      </c>
      <c r="D863" s="194">
        <v>50</v>
      </c>
      <c r="E863" s="14">
        <v>8183.57</v>
      </c>
      <c r="F863" s="14"/>
      <c r="G863" s="14"/>
      <c r="H863" s="58">
        <f t="shared" si="61"/>
        <v>8183.57</v>
      </c>
      <c r="I863" s="58">
        <f t="shared" si="62"/>
        <v>8183.57</v>
      </c>
      <c r="J863" s="126"/>
      <c r="K863" s="81"/>
      <c r="L863" s="208"/>
    </row>
    <row r="864" spans="1:12" s="54" customFormat="1" ht="24" outlineLevel="1" x14ac:dyDescent="0.2">
      <c r="A864" s="93" t="s">
        <v>589</v>
      </c>
      <c r="B864" s="103">
        <v>43132</v>
      </c>
      <c r="C864" s="103">
        <v>43465</v>
      </c>
      <c r="D864" s="194">
        <v>60</v>
      </c>
      <c r="E864" s="14">
        <v>6953</v>
      </c>
      <c r="F864" s="14">
        <v>44919.49</v>
      </c>
      <c r="G864" s="14">
        <v>0</v>
      </c>
      <c r="H864" s="58">
        <f t="shared" si="61"/>
        <v>51872.49</v>
      </c>
      <c r="I864" s="58">
        <f t="shared" si="62"/>
        <v>51872.49</v>
      </c>
      <c r="J864" s="126"/>
      <c r="K864" s="81"/>
      <c r="L864" s="208"/>
    </row>
    <row r="865" spans="1:12" s="54" customFormat="1" ht="24" outlineLevel="1" x14ac:dyDescent="0.2">
      <c r="A865" s="93" t="s">
        <v>590</v>
      </c>
      <c r="B865" s="103">
        <v>43132</v>
      </c>
      <c r="C865" s="103">
        <v>43465</v>
      </c>
      <c r="D865" s="194">
        <v>60</v>
      </c>
      <c r="E865" s="14">
        <v>6953</v>
      </c>
      <c r="F865" s="14">
        <v>41394.92</v>
      </c>
      <c r="G865" s="14">
        <v>0</v>
      </c>
      <c r="H865" s="58">
        <f t="shared" si="61"/>
        <v>48347.92</v>
      </c>
      <c r="I865" s="58">
        <f t="shared" si="62"/>
        <v>48347.92</v>
      </c>
      <c r="J865" s="126"/>
      <c r="K865" s="81"/>
      <c r="L865" s="208"/>
    </row>
    <row r="866" spans="1:12" s="54" customFormat="1" ht="24" outlineLevel="1" x14ac:dyDescent="0.2">
      <c r="A866" s="93" t="s">
        <v>591</v>
      </c>
      <c r="B866" s="103">
        <v>43088</v>
      </c>
      <c r="C866" s="103">
        <v>43465</v>
      </c>
      <c r="D866" s="194">
        <v>80</v>
      </c>
      <c r="E866" s="14">
        <v>43334.75</v>
      </c>
      <c r="F866" s="14">
        <v>6953</v>
      </c>
      <c r="G866" s="14">
        <v>0</v>
      </c>
      <c r="H866" s="58">
        <f t="shared" si="61"/>
        <v>50287.75</v>
      </c>
      <c r="I866" s="58">
        <f t="shared" si="62"/>
        <v>50287.75</v>
      </c>
      <c r="J866" s="126"/>
      <c r="K866" s="81"/>
      <c r="L866" s="208"/>
    </row>
    <row r="867" spans="1:12" s="54" customFormat="1" ht="24" outlineLevel="1" x14ac:dyDescent="0.2">
      <c r="A867" s="51" t="s">
        <v>1313</v>
      </c>
      <c r="B867" s="103">
        <v>43234</v>
      </c>
      <c r="C867" s="103">
        <v>43465</v>
      </c>
      <c r="D867" s="194">
        <v>50</v>
      </c>
      <c r="E867" s="14">
        <v>6953</v>
      </c>
      <c r="F867" s="14"/>
      <c r="G867" s="14"/>
      <c r="H867" s="58">
        <f t="shared" si="61"/>
        <v>6953</v>
      </c>
      <c r="I867" s="58">
        <f t="shared" si="62"/>
        <v>6953</v>
      </c>
      <c r="J867" s="126"/>
      <c r="K867" s="81"/>
      <c r="L867" s="208"/>
    </row>
    <row r="868" spans="1:12" s="54" customFormat="1" ht="24" outlineLevel="1" x14ac:dyDescent="0.2">
      <c r="A868" s="51" t="s">
        <v>1314</v>
      </c>
      <c r="B868" s="103">
        <v>43234</v>
      </c>
      <c r="C868" s="103">
        <v>43465</v>
      </c>
      <c r="D868" s="194">
        <v>50</v>
      </c>
      <c r="E868" s="14">
        <v>6953</v>
      </c>
      <c r="F868" s="14"/>
      <c r="G868" s="14"/>
      <c r="H868" s="58">
        <f t="shared" si="61"/>
        <v>6953</v>
      </c>
      <c r="I868" s="58">
        <f t="shared" si="62"/>
        <v>6953</v>
      </c>
      <c r="J868" s="126"/>
      <c r="K868" s="81"/>
      <c r="L868" s="208"/>
    </row>
    <row r="869" spans="1:12" s="54" customFormat="1" ht="24" outlineLevel="1" x14ac:dyDescent="0.2">
      <c r="A869" s="51" t="s">
        <v>1315</v>
      </c>
      <c r="B869" s="103">
        <v>43234</v>
      </c>
      <c r="C869" s="103">
        <v>43465</v>
      </c>
      <c r="D869" s="194">
        <v>50</v>
      </c>
      <c r="E869" s="14">
        <v>6953</v>
      </c>
      <c r="F869" s="14"/>
      <c r="G869" s="14"/>
      <c r="H869" s="58">
        <f t="shared" si="61"/>
        <v>6953</v>
      </c>
      <c r="I869" s="58">
        <f t="shared" si="62"/>
        <v>6953</v>
      </c>
      <c r="J869" s="126"/>
      <c r="K869" s="81"/>
      <c r="L869" s="208"/>
    </row>
    <row r="870" spans="1:12" s="54" customFormat="1" ht="24" outlineLevel="1" x14ac:dyDescent="0.2">
      <c r="A870" s="93" t="s">
        <v>592</v>
      </c>
      <c r="B870" s="103">
        <v>42986</v>
      </c>
      <c r="C870" s="103">
        <v>43465</v>
      </c>
      <c r="D870" s="194">
        <v>90</v>
      </c>
      <c r="E870" s="70">
        <f>27935.16+1972.99</f>
        <v>29908.15</v>
      </c>
      <c r="F870" s="70">
        <f>8330.75+4945.29</f>
        <v>13276.04</v>
      </c>
      <c r="G870" s="14">
        <v>0</v>
      </c>
      <c r="H870" s="58">
        <f t="shared" si="61"/>
        <v>43184.19</v>
      </c>
      <c r="I870" s="58">
        <f t="shared" si="62"/>
        <v>43184.19</v>
      </c>
      <c r="J870" s="126"/>
      <c r="K870" s="81"/>
      <c r="L870" s="208"/>
    </row>
    <row r="871" spans="1:12" s="54" customFormat="1" ht="24" outlineLevel="1" x14ac:dyDescent="0.2">
      <c r="A871" s="93" t="s">
        <v>593</v>
      </c>
      <c r="B871" s="103">
        <v>43112</v>
      </c>
      <c r="C871" s="103">
        <v>43465</v>
      </c>
      <c r="D871" s="194">
        <v>45</v>
      </c>
      <c r="E871" s="14">
        <v>0</v>
      </c>
      <c r="F871" s="14">
        <v>4431.37</v>
      </c>
      <c r="G871" s="14">
        <v>0</v>
      </c>
      <c r="H871" s="58">
        <f t="shared" si="61"/>
        <v>4431.37</v>
      </c>
      <c r="I871" s="58">
        <f t="shared" si="62"/>
        <v>4431.37</v>
      </c>
      <c r="J871" s="126"/>
      <c r="K871" s="81"/>
      <c r="L871" s="208"/>
    </row>
    <row r="872" spans="1:12" s="54" customFormat="1" ht="24" outlineLevel="1" x14ac:dyDescent="0.2">
      <c r="A872" s="93" t="s">
        <v>594</v>
      </c>
      <c r="B872" s="103">
        <v>43123</v>
      </c>
      <c r="C872" s="103">
        <v>43465</v>
      </c>
      <c r="D872" s="194">
        <v>45</v>
      </c>
      <c r="E872" s="14">
        <f>3305.36+15430.78</f>
        <v>18736.14</v>
      </c>
      <c r="F872" s="14"/>
      <c r="G872" s="14">
        <v>0</v>
      </c>
      <c r="H872" s="58">
        <f t="shared" si="61"/>
        <v>18736.14</v>
      </c>
      <c r="I872" s="58">
        <f t="shared" si="62"/>
        <v>18736.14</v>
      </c>
      <c r="J872" s="126"/>
      <c r="K872" s="81"/>
      <c r="L872" s="208"/>
    </row>
    <row r="873" spans="1:12" s="54" customFormat="1" outlineLevel="1" x14ac:dyDescent="0.2">
      <c r="A873" s="93" t="s">
        <v>595</v>
      </c>
      <c r="B873" s="103">
        <v>43074</v>
      </c>
      <c r="C873" s="103">
        <v>43465</v>
      </c>
      <c r="D873" s="194">
        <v>40</v>
      </c>
      <c r="E873" s="14">
        <v>11138.19</v>
      </c>
      <c r="F873" s="14">
        <v>31356.06</v>
      </c>
      <c r="G873" s="14">
        <v>0</v>
      </c>
      <c r="H873" s="58">
        <f t="shared" si="61"/>
        <v>42494.25</v>
      </c>
      <c r="I873" s="58">
        <f t="shared" si="62"/>
        <v>42494.25</v>
      </c>
      <c r="J873" s="126"/>
      <c r="K873" s="81"/>
      <c r="L873" s="208"/>
    </row>
    <row r="874" spans="1:12" s="54" customFormat="1" outlineLevel="1" x14ac:dyDescent="0.2">
      <c r="A874" s="51" t="s">
        <v>1316</v>
      </c>
      <c r="B874" s="103">
        <v>43281</v>
      </c>
      <c r="C874" s="103">
        <v>43465</v>
      </c>
      <c r="D874" s="194">
        <v>50</v>
      </c>
      <c r="E874" s="14">
        <v>8230.17</v>
      </c>
      <c r="F874" s="14"/>
      <c r="G874" s="14"/>
      <c r="H874" s="58">
        <f t="shared" si="61"/>
        <v>8230.17</v>
      </c>
      <c r="I874" s="58">
        <f t="shared" si="62"/>
        <v>8230.17</v>
      </c>
      <c r="J874" s="126"/>
      <c r="K874" s="81"/>
      <c r="L874" s="208"/>
    </row>
    <row r="875" spans="1:12" s="54" customFormat="1" ht="24" outlineLevel="1" x14ac:dyDescent="0.2">
      <c r="A875" s="51" t="s">
        <v>1317</v>
      </c>
      <c r="B875" s="103">
        <v>43281</v>
      </c>
      <c r="C875" s="103">
        <v>43465</v>
      </c>
      <c r="D875" s="194">
        <v>50</v>
      </c>
      <c r="E875" s="14">
        <v>8907.67</v>
      </c>
      <c r="F875" s="14"/>
      <c r="G875" s="14"/>
      <c r="H875" s="58">
        <f t="shared" si="61"/>
        <v>8907.67</v>
      </c>
      <c r="I875" s="58">
        <f t="shared" si="62"/>
        <v>8907.67</v>
      </c>
      <c r="J875" s="126"/>
      <c r="K875" s="81"/>
      <c r="L875" s="208"/>
    </row>
    <row r="876" spans="1:12" s="54" customFormat="1" outlineLevel="1" x14ac:dyDescent="0.2">
      <c r="A876" s="51" t="s">
        <v>1318</v>
      </c>
      <c r="B876" s="103">
        <v>43220</v>
      </c>
      <c r="C876" s="103">
        <v>43465</v>
      </c>
      <c r="D876" s="194">
        <v>50</v>
      </c>
      <c r="E876" s="14">
        <v>11848</v>
      </c>
      <c r="F876" s="14">
        <v>31508.29</v>
      </c>
      <c r="G876" s="14"/>
      <c r="H876" s="58">
        <f t="shared" si="61"/>
        <v>43356.29</v>
      </c>
      <c r="I876" s="58">
        <f t="shared" si="62"/>
        <v>43356.29</v>
      </c>
      <c r="J876" s="126"/>
      <c r="K876" s="81"/>
      <c r="L876" s="208"/>
    </row>
    <row r="877" spans="1:12" s="54" customFormat="1" ht="24" outlineLevel="1" x14ac:dyDescent="0.2">
      <c r="A877" s="51" t="s">
        <v>1319</v>
      </c>
      <c r="B877" s="103">
        <v>43220</v>
      </c>
      <c r="C877" s="103">
        <v>43465</v>
      </c>
      <c r="D877" s="194">
        <v>50</v>
      </c>
      <c r="E877" s="14">
        <v>8595.07</v>
      </c>
      <c r="F877" s="14"/>
      <c r="G877" s="14"/>
      <c r="H877" s="58">
        <f t="shared" si="61"/>
        <v>8595.07</v>
      </c>
      <c r="I877" s="58">
        <f t="shared" si="62"/>
        <v>8595.07</v>
      </c>
      <c r="J877" s="126"/>
      <c r="K877" s="81"/>
      <c r="L877" s="208"/>
    </row>
    <row r="878" spans="1:12" s="54" customFormat="1" ht="24" outlineLevel="1" x14ac:dyDescent="0.2">
      <c r="A878" s="51" t="s">
        <v>1320</v>
      </c>
      <c r="B878" s="103">
        <v>43251</v>
      </c>
      <c r="C878" s="103">
        <v>43465</v>
      </c>
      <c r="D878" s="194">
        <v>50</v>
      </c>
      <c r="E878" s="14">
        <v>2717.06</v>
      </c>
      <c r="F878" s="14">
        <v>42438.16</v>
      </c>
      <c r="G878" s="14"/>
      <c r="H878" s="58">
        <f t="shared" si="61"/>
        <v>45155.22</v>
      </c>
      <c r="I878" s="58">
        <f t="shared" si="62"/>
        <v>45155.22</v>
      </c>
      <c r="J878" s="126"/>
      <c r="K878" s="81"/>
      <c r="L878" s="208"/>
    </row>
    <row r="879" spans="1:12" s="54" customFormat="1" outlineLevel="1" x14ac:dyDescent="0.2">
      <c r="A879" s="51" t="s">
        <v>1321</v>
      </c>
      <c r="B879" s="103">
        <v>43251</v>
      </c>
      <c r="C879" s="103">
        <v>43465</v>
      </c>
      <c r="D879" s="194">
        <v>50</v>
      </c>
      <c r="E879" s="14">
        <v>8183.57</v>
      </c>
      <c r="F879" s="14">
        <v>31579.61</v>
      </c>
      <c r="G879" s="14"/>
      <c r="H879" s="58">
        <f t="shared" si="61"/>
        <v>39763.18</v>
      </c>
      <c r="I879" s="58">
        <f t="shared" si="62"/>
        <v>39763.18</v>
      </c>
      <c r="J879" s="126"/>
      <c r="K879" s="81"/>
      <c r="L879" s="208"/>
    </row>
    <row r="880" spans="1:12" s="54" customFormat="1" outlineLevel="1" x14ac:dyDescent="0.2">
      <c r="A880" s="93" t="s">
        <v>596</v>
      </c>
      <c r="B880" s="103">
        <v>43046</v>
      </c>
      <c r="C880" s="103">
        <v>43465</v>
      </c>
      <c r="D880" s="194">
        <v>80</v>
      </c>
      <c r="E880" s="70">
        <v>30881.47</v>
      </c>
      <c r="F880" s="70">
        <v>10188.16</v>
      </c>
      <c r="G880" s="14">
        <v>0</v>
      </c>
      <c r="H880" s="58">
        <f t="shared" si="61"/>
        <v>41069.630000000005</v>
      </c>
      <c r="I880" s="58">
        <f t="shared" ref="I880:I893" si="63">H880</f>
        <v>41069.630000000005</v>
      </c>
      <c r="J880" s="126"/>
      <c r="K880" s="81"/>
      <c r="L880" s="208"/>
    </row>
    <row r="881" spans="1:12" s="54" customFormat="1" ht="24" outlineLevel="1" x14ac:dyDescent="0.2">
      <c r="A881" s="51" t="s">
        <v>1322</v>
      </c>
      <c r="B881" s="103">
        <v>42886</v>
      </c>
      <c r="C881" s="103">
        <v>43465</v>
      </c>
      <c r="D881" s="194">
        <v>50</v>
      </c>
      <c r="E881" s="14">
        <v>10946.82</v>
      </c>
      <c r="F881" s="14"/>
      <c r="G881" s="14"/>
      <c r="H881" s="58">
        <f t="shared" si="61"/>
        <v>10946.82</v>
      </c>
      <c r="I881" s="58">
        <f t="shared" si="63"/>
        <v>10946.82</v>
      </c>
      <c r="J881" s="126"/>
      <c r="K881" s="81"/>
      <c r="L881" s="208"/>
    </row>
    <row r="882" spans="1:12" s="54" customFormat="1" ht="24" outlineLevel="1" x14ac:dyDescent="0.2">
      <c r="A882" s="93" t="s">
        <v>597</v>
      </c>
      <c r="B882" s="103">
        <v>42954</v>
      </c>
      <c r="C882" s="103">
        <v>43465</v>
      </c>
      <c r="D882" s="194">
        <v>45</v>
      </c>
      <c r="E882" s="14">
        <v>13401.75</v>
      </c>
      <c r="F882" s="97">
        <v>155159.87</v>
      </c>
      <c r="G882" s="14">
        <v>0</v>
      </c>
      <c r="H882" s="58">
        <f t="shared" si="61"/>
        <v>168561.62</v>
      </c>
      <c r="I882" s="58">
        <f t="shared" si="63"/>
        <v>168561.62</v>
      </c>
      <c r="J882" s="126"/>
      <c r="K882" s="81"/>
      <c r="L882" s="208"/>
    </row>
    <row r="883" spans="1:12" s="54" customFormat="1" outlineLevel="1" x14ac:dyDescent="0.2">
      <c r="A883" s="93" t="s">
        <v>598</v>
      </c>
      <c r="B883" s="103">
        <v>43054</v>
      </c>
      <c r="C883" s="103">
        <v>43465</v>
      </c>
      <c r="D883" s="194">
        <v>50</v>
      </c>
      <c r="E883" s="14">
        <v>0</v>
      </c>
      <c r="F883" s="70">
        <v>29737.08</v>
      </c>
      <c r="G883" s="14">
        <v>0</v>
      </c>
      <c r="H883" s="58">
        <f t="shared" si="61"/>
        <v>29737.08</v>
      </c>
      <c r="I883" s="58">
        <f t="shared" si="63"/>
        <v>29737.08</v>
      </c>
      <c r="J883" s="126"/>
      <c r="K883" s="81"/>
      <c r="L883" s="208"/>
    </row>
    <row r="884" spans="1:12" s="54" customFormat="1" outlineLevel="1" x14ac:dyDescent="0.2">
      <c r="A884" s="93" t="s">
        <v>599</v>
      </c>
      <c r="B884" s="103">
        <v>43171</v>
      </c>
      <c r="C884" s="103">
        <v>43465</v>
      </c>
      <c r="D884" s="194">
        <v>40</v>
      </c>
      <c r="E884" s="14">
        <v>0</v>
      </c>
      <c r="F884" s="14">
        <v>3305.36</v>
      </c>
      <c r="G884" s="14">
        <v>0</v>
      </c>
      <c r="H884" s="58">
        <f t="shared" si="61"/>
        <v>3305.36</v>
      </c>
      <c r="I884" s="58">
        <f t="shared" si="63"/>
        <v>3305.36</v>
      </c>
      <c r="J884" s="126"/>
      <c r="K884" s="81"/>
      <c r="L884" s="208"/>
    </row>
    <row r="885" spans="1:12" s="54" customFormat="1" outlineLevel="1" x14ac:dyDescent="0.2">
      <c r="A885" s="93" t="s">
        <v>600</v>
      </c>
      <c r="B885" s="103">
        <v>43088</v>
      </c>
      <c r="C885" s="103">
        <v>43465</v>
      </c>
      <c r="D885" s="194">
        <v>70</v>
      </c>
      <c r="E885" s="14">
        <v>40657.99</v>
      </c>
      <c r="F885" s="70">
        <v>5034.95</v>
      </c>
      <c r="G885" s="14">
        <v>0</v>
      </c>
      <c r="H885" s="58">
        <f t="shared" si="61"/>
        <v>45692.939999999995</v>
      </c>
      <c r="I885" s="58">
        <f t="shared" si="63"/>
        <v>45692.939999999995</v>
      </c>
      <c r="J885" s="126"/>
      <c r="K885" s="81"/>
      <c r="L885" s="208"/>
    </row>
    <row r="886" spans="1:12" s="54" customFormat="1" ht="24" outlineLevel="1" x14ac:dyDescent="0.2">
      <c r="A886" s="93" t="s">
        <v>601</v>
      </c>
      <c r="B886" s="103">
        <v>43097</v>
      </c>
      <c r="C886" s="103">
        <v>43465</v>
      </c>
      <c r="D886" s="194">
        <v>55</v>
      </c>
      <c r="E886" s="14">
        <f>9024.86+59527.74</f>
        <v>68552.600000000006</v>
      </c>
      <c r="F886" s="97"/>
      <c r="G886" s="14">
        <v>0</v>
      </c>
      <c r="H886" s="58">
        <f t="shared" si="61"/>
        <v>68552.600000000006</v>
      </c>
      <c r="I886" s="58">
        <f t="shared" si="63"/>
        <v>68552.600000000006</v>
      </c>
      <c r="J886" s="126"/>
      <c r="K886" s="81"/>
      <c r="L886" s="208"/>
    </row>
    <row r="887" spans="1:12" s="54" customFormat="1" ht="24" outlineLevel="1" x14ac:dyDescent="0.2">
      <c r="A887" s="93" t="s">
        <v>602</v>
      </c>
      <c r="B887" s="104">
        <v>42656</v>
      </c>
      <c r="C887" s="103">
        <v>43465</v>
      </c>
      <c r="D887" s="194">
        <v>50</v>
      </c>
      <c r="E887" s="14">
        <v>0</v>
      </c>
      <c r="F887" s="14">
        <v>0</v>
      </c>
      <c r="G887" s="14">
        <v>588.14</v>
      </c>
      <c r="H887" s="58">
        <f t="shared" si="61"/>
        <v>588.14</v>
      </c>
      <c r="I887" s="58">
        <f t="shared" si="63"/>
        <v>588.14</v>
      </c>
      <c r="J887" s="160"/>
      <c r="K887" s="81"/>
      <c r="L887" s="208"/>
    </row>
    <row r="888" spans="1:12" s="54" customFormat="1" ht="24" outlineLevel="1" x14ac:dyDescent="0.2">
      <c r="A888" s="93" t="s">
        <v>603</v>
      </c>
      <c r="B888" s="103">
        <v>42993</v>
      </c>
      <c r="C888" s="103">
        <v>43465</v>
      </c>
      <c r="D888" s="194">
        <v>70</v>
      </c>
      <c r="E888" s="14">
        <v>0</v>
      </c>
      <c r="F888" s="70">
        <v>15720.45</v>
      </c>
      <c r="G888" s="14">
        <v>0</v>
      </c>
      <c r="H888" s="58">
        <f t="shared" si="61"/>
        <v>15720.45</v>
      </c>
      <c r="I888" s="58">
        <f t="shared" si="63"/>
        <v>15720.45</v>
      </c>
      <c r="J888" s="126"/>
      <c r="K888" s="81"/>
      <c r="L888" s="208"/>
    </row>
    <row r="889" spans="1:12" s="54" customFormat="1" ht="24" outlineLevel="1" x14ac:dyDescent="0.2">
      <c r="A889" s="22" t="s">
        <v>802</v>
      </c>
      <c r="B889" s="104">
        <v>42788</v>
      </c>
      <c r="C889" s="103">
        <v>43465</v>
      </c>
      <c r="D889" s="194">
        <v>40</v>
      </c>
      <c r="E889" s="14">
        <v>53853.89</v>
      </c>
      <c r="F889" s="14"/>
      <c r="G889" s="14"/>
      <c r="H889" s="58">
        <f t="shared" si="61"/>
        <v>53853.89</v>
      </c>
      <c r="I889" s="52">
        <f t="shared" si="63"/>
        <v>53853.89</v>
      </c>
      <c r="J889" s="126"/>
      <c r="K889" s="81"/>
      <c r="L889" s="208"/>
    </row>
    <row r="890" spans="1:12" s="54" customFormat="1" ht="24" outlineLevel="1" x14ac:dyDescent="0.2">
      <c r="A890" s="22" t="s">
        <v>803</v>
      </c>
      <c r="B890" s="104">
        <v>42398</v>
      </c>
      <c r="C890" s="103">
        <v>43465</v>
      </c>
      <c r="D890" s="194">
        <v>70</v>
      </c>
      <c r="E890" s="14">
        <v>69024</v>
      </c>
      <c r="F890" s="14">
        <v>51748.23</v>
      </c>
      <c r="G890" s="14"/>
      <c r="H890" s="58">
        <f t="shared" ref="H890:H954" si="64">E890+F890+G890</f>
        <v>120772.23000000001</v>
      </c>
      <c r="I890" s="52">
        <f t="shared" si="63"/>
        <v>120772.23000000001</v>
      </c>
      <c r="J890" s="126"/>
      <c r="K890" s="81"/>
      <c r="L890" s="208"/>
    </row>
    <row r="891" spans="1:12" ht="24" x14ac:dyDescent="0.2">
      <c r="A891" s="22" t="s">
        <v>804</v>
      </c>
      <c r="B891" s="104">
        <v>42713</v>
      </c>
      <c r="C891" s="103">
        <v>43465</v>
      </c>
      <c r="D891" s="194">
        <v>40</v>
      </c>
      <c r="E891" s="14">
        <v>19023</v>
      </c>
      <c r="F891" s="14"/>
      <c r="G891" s="14"/>
      <c r="H891" s="58">
        <f t="shared" si="64"/>
        <v>19023</v>
      </c>
      <c r="I891" s="52">
        <f t="shared" si="63"/>
        <v>19023</v>
      </c>
      <c r="J891" s="126"/>
      <c r="K891" s="81"/>
      <c r="L891" s="201"/>
    </row>
    <row r="892" spans="1:12" s="54" customFormat="1" ht="24" outlineLevel="1" x14ac:dyDescent="0.2">
      <c r="A892" s="93" t="s">
        <v>604</v>
      </c>
      <c r="B892" s="103">
        <v>43052</v>
      </c>
      <c r="C892" s="103">
        <v>43465</v>
      </c>
      <c r="D892" s="194">
        <v>80</v>
      </c>
      <c r="E892" s="70">
        <v>1849.01</v>
      </c>
      <c r="F892" s="14">
        <v>35310.43</v>
      </c>
      <c r="G892" s="14">
        <v>0</v>
      </c>
      <c r="H892" s="58">
        <f t="shared" si="64"/>
        <v>37159.440000000002</v>
      </c>
      <c r="I892" s="58">
        <f t="shared" si="63"/>
        <v>37159.440000000002</v>
      </c>
      <c r="J892" s="126"/>
      <c r="K892" s="81"/>
      <c r="L892" s="208"/>
    </row>
    <row r="893" spans="1:12" ht="24" x14ac:dyDescent="0.2">
      <c r="A893" s="22" t="s">
        <v>805</v>
      </c>
      <c r="B893" s="104">
        <v>42674</v>
      </c>
      <c r="C893" s="103">
        <v>43465</v>
      </c>
      <c r="D893" s="194">
        <v>40</v>
      </c>
      <c r="E893" s="14">
        <v>16542.13</v>
      </c>
      <c r="F893" s="14"/>
      <c r="G893" s="14"/>
      <c r="H893" s="58">
        <f t="shared" si="64"/>
        <v>16542.13</v>
      </c>
      <c r="I893" s="52">
        <f t="shared" si="63"/>
        <v>16542.13</v>
      </c>
      <c r="J893" s="126"/>
      <c r="K893" s="81"/>
      <c r="L893" s="201"/>
    </row>
    <row r="894" spans="1:12" s="54" customFormat="1" ht="24" outlineLevel="1" x14ac:dyDescent="0.2">
      <c r="A894" s="93" t="s">
        <v>605</v>
      </c>
      <c r="B894" s="103">
        <v>42935</v>
      </c>
      <c r="C894" s="103">
        <v>43465</v>
      </c>
      <c r="D894" s="194">
        <v>40</v>
      </c>
      <c r="E894" s="14">
        <f>5719.5+8542.64</f>
        <v>14262.14</v>
      </c>
      <c r="F894" s="97">
        <v>219134.6</v>
      </c>
      <c r="G894" s="14">
        <v>0</v>
      </c>
      <c r="H894" s="58">
        <f t="shared" si="64"/>
        <v>233396.74</v>
      </c>
      <c r="I894" s="58">
        <f t="shared" ref="I894:I965" si="65">H894</f>
        <v>233396.74</v>
      </c>
      <c r="J894" s="126"/>
      <c r="K894" s="81"/>
      <c r="L894" s="208"/>
    </row>
    <row r="895" spans="1:12" s="54" customFormat="1" ht="24" outlineLevel="1" x14ac:dyDescent="0.2">
      <c r="A895" s="22" t="s">
        <v>606</v>
      </c>
      <c r="B895" s="104">
        <v>42814</v>
      </c>
      <c r="C895" s="103">
        <v>43465</v>
      </c>
      <c r="D895" s="194">
        <v>40</v>
      </c>
      <c r="E895" s="14">
        <v>12074.72</v>
      </c>
      <c r="F895" s="14">
        <v>11538.95</v>
      </c>
      <c r="G895" s="14"/>
      <c r="H895" s="58">
        <f t="shared" si="64"/>
        <v>23613.67</v>
      </c>
      <c r="I895" s="52">
        <f t="shared" si="65"/>
        <v>23613.67</v>
      </c>
      <c r="J895" s="126"/>
      <c r="K895" s="81"/>
      <c r="L895" s="208"/>
    </row>
    <row r="896" spans="1:12" s="54" customFormat="1" ht="24" outlineLevel="1" x14ac:dyDescent="0.2">
      <c r="A896" s="93" t="s">
        <v>607</v>
      </c>
      <c r="B896" s="103">
        <v>43033</v>
      </c>
      <c r="C896" s="103">
        <v>43465</v>
      </c>
      <c r="D896" s="194">
        <v>80</v>
      </c>
      <c r="E896" s="14">
        <v>9100.82</v>
      </c>
      <c r="F896" s="97">
        <v>63673.48</v>
      </c>
      <c r="G896" s="14">
        <v>0</v>
      </c>
      <c r="H896" s="58">
        <f t="shared" si="64"/>
        <v>72774.3</v>
      </c>
      <c r="I896" s="58">
        <f t="shared" si="65"/>
        <v>72774.3</v>
      </c>
      <c r="J896" s="126"/>
      <c r="K896" s="81"/>
      <c r="L896" s="208"/>
    </row>
    <row r="897" spans="1:12" s="54" customFormat="1" ht="24" outlineLevel="1" x14ac:dyDescent="0.2">
      <c r="A897" s="93" t="s">
        <v>608</v>
      </c>
      <c r="B897" s="103">
        <v>42949</v>
      </c>
      <c r="C897" s="103">
        <v>43465</v>
      </c>
      <c r="D897" s="194">
        <v>50</v>
      </c>
      <c r="E897" s="14">
        <v>0</v>
      </c>
      <c r="F897" s="14">
        <v>21154.43</v>
      </c>
      <c r="G897" s="14">
        <v>0</v>
      </c>
      <c r="H897" s="58">
        <f t="shared" si="64"/>
        <v>21154.43</v>
      </c>
      <c r="I897" s="58">
        <f t="shared" si="65"/>
        <v>21154.43</v>
      </c>
      <c r="J897" s="126"/>
      <c r="K897" s="81"/>
      <c r="L897" s="208"/>
    </row>
    <row r="898" spans="1:12" s="54" customFormat="1" ht="24" outlineLevel="1" x14ac:dyDescent="0.2">
      <c r="A898" s="93" t="s">
        <v>609</v>
      </c>
      <c r="B898" s="103">
        <v>42950</v>
      </c>
      <c r="C898" s="103">
        <v>43465</v>
      </c>
      <c r="D898" s="194">
        <v>50</v>
      </c>
      <c r="E898" s="14">
        <v>0</v>
      </c>
      <c r="F898" s="70">
        <v>2825.44</v>
      </c>
      <c r="G898" s="14">
        <v>0</v>
      </c>
      <c r="H898" s="58">
        <f t="shared" si="64"/>
        <v>2825.44</v>
      </c>
      <c r="I898" s="58">
        <f t="shared" si="65"/>
        <v>2825.44</v>
      </c>
      <c r="J898" s="126"/>
      <c r="K898" s="81"/>
      <c r="L898" s="208"/>
    </row>
    <row r="899" spans="1:12" s="54" customFormat="1" ht="24" outlineLevel="1" x14ac:dyDescent="0.2">
      <c r="A899" s="93" t="s">
        <v>610</v>
      </c>
      <c r="B899" s="103">
        <v>42745</v>
      </c>
      <c r="C899" s="103">
        <v>43465</v>
      </c>
      <c r="D899" s="194">
        <v>80</v>
      </c>
      <c r="E899" s="14">
        <v>8595.07</v>
      </c>
      <c r="F899" s="14">
        <v>11227.97</v>
      </c>
      <c r="G899" s="14">
        <v>0</v>
      </c>
      <c r="H899" s="58">
        <f t="shared" si="64"/>
        <v>19823.04</v>
      </c>
      <c r="I899" s="58">
        <f t="shared" si="65"/>
        <v>19823.04</v>
      </c>
      <c r="J899" s="126"/>
      <c r="K899" s="81"/>
      <c r="L899" s="208"/>
    </row>
    <row r="900" spans="1:12" s="54" customFormat="1" ht="24" outlineLevel="1" x14ac:dyDescent="0.2">
      <c r="A900" s="22" t="s">
        <v>806</v>
      </c>
      <c r="B900" s="104">
        <v>42503</v>
      </c>
      <c r="C900" s="103">
        <v>43465</v>
      </c>
      <c r="D900" s="194">
        <v>65</v>
      </c>
      <c r="E900" s="14">
        <v>92509.65</v>
      </c>
      <c r="F900" s="14"/>
      <c r="G900" s="14"/>
      <c r="H900" s="58">
        <f t="shared" si="64"/>
        <v>92509.65</v>
      </c>
      <c r="I900" s="52">
        <f t="shared" si="65"/>
        <v>92509.65</v>
      </c>
      <c r="J900" s="126"/>
      <c r="K900" s="81"/>
      <c r="L900" s="208"/>
    </row>
    <row r="901" spans="1:12" s="54" customFormat="1" outlineLevel="1" x14ac:dyDescent="0.2">
      <c r="A901" s="93" t="s">
        <v>611</v>
      </c>
      <c r="B901" s="103">
        <v>43054</v>
      </c>
      <c r="C901" s="103">
        <v>43465</v>
      </c>
      <c r="D901" s="194">
        <v>70</v>
      </c>
      <c r="E901" s="14">
        <v>0</v>
      </c>
      <c r="F901" s="14">
        <v>9024.86</v>
      </c>
      <c r="G901" s="14">
        <v>0</v>
      </c>
      <c r="H901" s="58">
        <f t="shared" si="64"/>
        <v>9024.86</v>
      </c>
      <c r="I901" s="58">
        <f t="shared" si="65"/>
        <v>9024.86</v>
      </c>
      <c r="J901" s="126"/>
      <c r="K901" s="81"/>
      <c r="L901" s="208"/>
    </row>
    <row r="902" spans="1:12" s="54" customFormat="1" ht="24" outlineLevel="1" x14ac:dyDescent="0.2">
      <c r="A902" s="93" t="s">
        <v>612</v>
      </c>
      <c r="B902" s="103">
        <v>43032</v>
      </c>
      <c r="C902" s="103">
        <v>43119</v>
      </c>
      <c r="D902" s="194">
        <v>95</v>
      </c>
      <c r="E902" s="70">
        <v>26447.4</v>
      </c>
      <c r="F902" s="70">
        <f>8095.6+1007.44</f>
        <v>9103.0400000000009</v>
      </c>
      <c r="G902" s="14">
        <v>0</v>
      </c>
      <c r="H902" s="58">
        <f t="shared" si="64"/>
        <v>35550.44</v>
      </c>
      <c r="I902" s="58">
        <f t="shared" si="65"/>
        <v>35550.44</v>
      </c>
      <c r="J902" s="126"/>
      <c r="K902" s="81"/>
      <c r="L902" s="208"/>
    </row>
    <row r="903" spans="1:12" s="54" customFormat="1" ht="24" outlineLevel="1" x14ac:dyDescent="0.2">
      <c r="A903" s="93" t="s">
        <v>613</v>
      </c>
      <c r="B903" s="103">
        <v>42936</v>
      </c>
      <c r="C903" s="103">
        <v>43465</v>
      </c>
      <c r="D903" s="194">
        <v>50</v>
      </c>
      <c r="E903" s="14">
        <v>0</v>
      </c>
      <c r="F903" s="14">
        <v>10310.56</v>
      </c>
      <c r="G903" s="14">
        <v>0</v>
      </c>
      <c r="H903" s="58">
        <f t="shared" si="64"/>
        <v>10310.56</v>
      </c>
      <c r="I903" s="58">
        <f t="shared" si="65"/>
        <v>10310.56</v>
      </c>
      <c r="J903" s="126"/>
      <c r="K903" s="81"/>
      <c r="L903" s="208"/>
    </row>
    <row r="904" spans="1:12" s="54" customFormat="1" outlineLevel="1" x14ac:dyDescent="0.2">
      <c r="A904" s="51" t="s">
        <v>1323</v>
      </c>
      <c r="B904" s="103">
        <v>43251</v>
      </c>
      <c r="C904" s="103">
        <v>43465</v>
      </c>
      <c r="D904" s="194">
        <v>50</v>
      </c>
      <c r="E904" s="14">
        <v>7781.01</v>
      </c>
      <c r="F904" s="14">
        <v>44102.02</v>
      </c>
      <c r="G904" s="14"/>
      <c r="H904" s="58">
        <f t="shared" si="64"/>
        <v>51883.03</v>
      </c>
      <c r="I904" s="58">
        <f t="shared" si="65"/>
        <v>51883.03</v>
      </c>
      <c r="J904" s="126"/>
      <c r="K904" s="81"/>
      <c r="L904" s="208"/>
    </row>
    <row r="905" spans="1:12" s="54" customFormat="1" outlineLevel="1" x14ac:dyDescent="0.2">
      <c r="A905" s="93" t="s">
        <v>614</v>
      </c>
      <c r="B905" s="103"/>
      <c r="C905" s="103">
        <v>43465</v>
      </c>
      <c r="D905" s="194">
        <v>50</v>
      </c>
      <c r="E905" s="14">
        <v>0</v>
      </c>
      <c r="F905" s="14">
        <v>16740.68</v>
      </c>
      <c r="G905" s="14">
        <v>0</v>
      </c>
      <c r="H905" s="58">
        <f t="shared" si="64"/>
        <v>16740.68</v>
      </c>
      <c r="I905" s="58">
        <f t="shared" si="65"/>
        <v>16740.68</v>
      </c>
      <c r="J905" s="126"/>
      <c r="K905" s="81"/>
      <c r="L905" s="208"/>
    </row>
    <row r="906" spans="1:12" s="54" customFormat="1" ht="24" outlineLevel="1" x14ac:dyDescent="0.2">
      <c r="A906" s="93" t="s">
        <v>615</v>
      </c>
      <c r="B906" s="103">
        <v>43076</v>
      </c>
      <c r="C906" s="103">
        <v>43465</v>
      </c>
      <c r="D906" s="194">
        <v>70</v>
      </c>
      <c r="E906" s="14">
        <v>24911.72</v>
      </c>
      <c r="F906" s="14">
        <f>8328.41+1007.44</f>
        <v>9335.85</v>
      </c>
      <c r="G906" s="14">
        <v>0</v>
      </c>
      <c r="H906" s="58">
        <f t="shared" si="64"/>
        <v>34247.57</v>
      </c>
      <c r="I906" s="58">
        <f t="shared" si="65"/>
        <v>34247.57</v>
      </c>
      <c r="J906" s="126"/>
      <c r="K906" s="81"/>
      <c r="L906" s="208"/>
    </row>
    <row r="907" spans="1:12" s="54" customFormat="1" ht="24" outlineLevel="1" x14ac:dyDescent="0.2">
      <c r="A907" s="22" t="s">
        <v>616</v>
      </c>
      <c r="B907" s="104">
        <v>42873</v>
      </c>
      <c r="C907" s="103">
        <v>43190</v>
      </c>
      <c r="D907" s="194">
        <v>98</v>
      </c>
      <c r="E907" s="14">
        <v>41244.28</v>
      </c>
      <c r="F907" s="14">
        <f>38674.81+3016.1</f>
        <v>41690.909999999996</v>
      </c>
      <c r="G907" s="14"/>
      <c r="H907" s="58">
        <f t="shared" si="64"/>
        <v>82935.19</v>
      </c>
      <c r="I907" s="52">
        <f t="shared" si="65"/>
        <v>82935.19</v>
      </c>
      <c r="J907" s="126"/>
      <c r="K907" s="81"/>
      <c r="L907" s="208"/>
    </row>
    <row r="908" spans="1:12" s="54" customFormat="1" ht="24" outlineLevel="1" x14ac:dyDescent="0.2">
      <c r="A908" s="93" t="s">
        <v>617</v>
      </c>
      <c r="B908" s="103">
        <v>42990</v>
      </c>
      <c r="C908" s="103">
        <v>43133</v>
      </c>
      <c r="D908" s="194">
        <v>95</v>
      </c>
      <c r="E908" s="70">
        <v>18859.400000000001</v>
      </c>
      <c r="F908" s="70">
        <v>6573.06</v>
      </c>
      <c r="G908" s="14">
        <v>0</v>
      </c>
      <c r="H908" s="58">
        <f t="shared" si="64"/>
        <v>25432.460000000003</v>
      </c>
      <c r="I908" s="58">
        <f t="shared" si="65"/>
        <v>25432.460000000003</v>
      </c>
      <c r="J908" s="126"/>
      <c r="K908" s="81"/>
      <c r="L908" s="208"/>
    </row>
    <row r="909" spans="1:12" s="54" customFormat="1" ht="24" outlineLevel="1" x14ac:dyDescent="0.2">
      <c r="A909" s="22" t="s">
        <v>807</v>
      </c>
      <c r="B909" s="104">
        <v>42726</v>
      </c>
      <c r="C909" s="103">
        <v>43190</v>
      </c>
      <c r="D909" s="194">
        <v>98</v>
      </c>
      <c r="E909" s="14">
        <v>17553.330000000002</v>
      </c>
      <c r="F909" s="14">
        <v>66269.75</v>
      </c>
      <c r="G909" s="14"/>
      <c r="H909" s="58">
        <f t="shared" si="64"/>
        <v>83823.08</v>
      </c>
      <c r="I909" s="52">
        <f t="shared" si="65"/>
        <v>83823.08</v>
      </c>
      <c r="J909" s="126"/>
      <c r="K909" s="81"/>
      <c r="L909" s="208"/>
    </row>
    <row r="910" spans="1:12" s="54" customFormat="1" ht="24" outlineLevel="1" x14ac:dyDescent="0.2">
      <c r="A910" s="93" t="s">
        <v>618</v>
      </c>
      <c r="B910" s="103">
        <v>42982</v>
      </c>
      <c r="C910" s="103">
        <v>43465</v>
      </c>
      <c r="D910" s="194">
        <v>60</v>
      </c>
      <c r="E910" s="14">
        <v>0</v>
      </c>
      <c r="F910" s="14">
        <v>22596.93</v>
      </c>
      <c r="G910" s="14">
        <v>0</v>
      </c>
      <c r="H910" s="58">
        <f t="shared" si="64"/>
        <v>22596.93</v>
      </c>
      <c r="I910" s="58">
        <f t="shared" si="65"/>
        <v>22596.93</v>
      </c>
      <c r="J910" s="126"/>
      <c r="K910" s="81"/>
      <c r="L910" s="208"/>
    </row>
    <row r="911" spans="1:12" s="54" customFormat="1" ht="24" outlineLevel="1" x14ac:dyDescent="0.2">
      <c r="A911" s="93" t="s">
        <v>619</v>
      </c>
      <c r="B911" s="103">
        <v>42387</v>
      </c>
      <c r="C911" s="103">
        <v>43465</v>
      </c>
      <c r="D911" s="194">
        <v>50</v>
      </c>
      <c r="E911" s="14">
        <v>19122.36</v>
      </c>
      <c r="F911" s="14">
        <v>28603.11</v>
      </c>
      <c r="G911" s="14">
        <v>0</v>
      </c>
      <c r="H911" s="58">
        <f t="shared" si="64"/>
        <v>47725.47</v>
      </c>
      <c r="I911" s="58">
        <f t="shared" si="65"/>
        <v>47725.47</v>
      </c>
      <c r="J911" s="126"/>
      <c r="K911" s="81"/>
      <c r="L911" s="208"/>
    </row>
    <row r="912" spans="1:12" s="54" customFormat="1" ht="24" outlineLevel="1" x14ac:dyDescent="0.2">
      <c r="A912" s="93" t="s">
        <v>620</v>
      </c>
      <c r="B912" s="103">
        <v>42859</v>
      </c>
      <c r="C912" s="103">
        <v>43465</v>
      </c>
      <c r="D912" s="194">
        <v>50</v>
      </c>
      <c r="E912" s="14">
        <v>0</v>
      </c>
      <c r="F912" s="14">
        <v>12611.75</v>
      </c>
      <c r="G912" s="14">
        <v>0</v>
      </c>
      <c r="H912" s="58">
        <f t="shared" si="64"/>
        <v>12611.75</v>
      </c>
      <c r="I912" s="58">
        <f t="shared" si="65"/>
        <v>12611.75</v>
      </c>
      <c r="J912" s="126"/>
      <c r="K912" s="81"/>
      <c r="L912" s="208"/>
    </row>
    <row r="913" spans="1:12" s="54" customFormat="1" ht="24" outlineLevel="1" x14ac:dyDescent="0.2">
      <c r="A913" s="93" t="s">
        <v>621</v>
      </c>
      <c r="B913" s="103">
        <v>42803</v>
      </c>
      <c r="C913" s="103">
        <v>43465</v>
      </c>
      <c r="D913" s="194">
        <v>50</v>
      </c>
      <c r="E913" s="14">
        <v>0</v>
      </c>
      <c r="F913" s="14">
        <v>1550.46</v>
      </c>
      <c r="G913" s="14">
        <v>0</v>
      </c>
      <c r="H913" s="58">
        <f t="shared" si="64"/>
        <v>1550.46</v>
      </c>
      <c r="I913" s="58">
        <f t="shared" si="65"/>
        <v>1550.46</v>
      </c>
      <c r="J913" s="126"/>
      <c r="K913" s="81"/>
      <c r="L913" s="208"/>
    </row>
    <row r="914" spans="1:12" s="54" customFormat="1" ht="24" outlineLevel="1" x14ac:dyDescent="0.2">
      <c r="A914" s="93" t="s">
        <v>622</v>
      </c>
      <c r="B914" s="103">
        <v>42754</v>
      </c>
      <c r="C914" s="103">
        <v>43465</v>
      </c>
      <c r="D914" s="194">
        <v>50</v>
      </c>
      <c r="E914" s="14">
        <v>19072.89</v>
      </c>
      <c r="F914" s="14">
        <v>29193.08</v>
      </c>
      <c r="G914" s="14">
        <v>0</v>
      </c>
      <c r="H914" s="58">
        <f t="shared" si="64"/>
        <v>48265.97</v>
      </c>
      <c r="I914" s="58">
        <f t="shared" si="65"/>
        <v>48265.97</v>
      </c>
      <c r="J914" s="126"/>
      <c r="K914" s="81"/>
      <c r="L914" s="208"/>
    </row>
    <row r="915" spans="1:12" s="54" customFormat="1" ht="24" outlineLevel="1" x14ac:dyDescent="0.2">
      <c r="A915" s="93" t="s">
        <v>623</v>
      </c>
      <c r="B915" s="103">
        <v>42983</v>
      </c>
      <c r="C915" s="103">
        <v>43117</v>
      </c>
      <c r="D915" s="194">
        <v>90</v>
      </c>
      <c r="E915" s="70">
        <f>30872.42+3842.09</f>
        <v>34714.509999999995</v>
      </c>
      <c r="F915" s="70">
        <f>10921.04+13008.49</f>
        <v>23929.53</v>
      </c>
      <c r="G915" s="14">
        <v>0</v>
      </c>
      <c r="H915" s="58">
        <f t="shared" si="64"/>
        <v>58644.039999999994</v>
      </c>
      <c r="I915" s="58">
        <f t="shared" si="65"/>
        <v>58644.039999999994</v>
      </c>
      <c r="J915" s="126"/>
      <c r="K915" s="81"/>
      <c r="L915" s="208"/>
    </row>
    <row r="916" spans="1:12" s="54" customFormat="1" ht="24" outlineLevel="1" x14ac:dyDescent="0.2">
      <c r="A916" s="93" t="s">
        <v>624</v>
      </c>
      <c r="B916" s="103">
        <v>43082</v>
      </c>
      <c r="C916" s="103">
        <v>43465</v>
      </c>
      <c r="D916" s="194">
        <v>65</v>
      </c>
      <c r="E916" s="14">
        <v>0</v>
      </c>
      <c r="F916" s="14">
        <f>11021.18+29819.4</f>
        <v>40840.58</v>
      </c>
      <c r="G916" s="14">
        <v>0</v>
      </c>
      <c r="H916" s="58">
        <f t="shared" si="64"/>
        <v>40840.58</v>
      </c>
      <c r="I916" s="58">
        <f t="shared" si="65"/>
        <v>40840.58</v>
      </c>
      <c r="J916" s="126"/>
      <c r="K916" s="81"/>
      <c r="L916" s="208"/>
    </row>
    <row r="917" spans="1:12" s="54" customFormat="1" ht="24" outlineLevel="1" x14ac:dyDescent="0.2">
      <c r="A917" s="51" t="s">
        <v>1324</v>
      </c>
      <c r="B917" s="103">
        <v>43220</v>
      </c>
      <c r="C917" s="103">
        <v>43465</v>
      </c>
      <c r="D917" s="194">
        <v>50</v>
      </c>
      <c r="E917" s="14">
        <v>8527.3799999999992</v>
      </c>
      <c r="F917" s="14">
        <v>40971.57</v>
      </c>
      <c r="G917" s="14"/>
      <c r="H917" s="58">
        <f t="shared" si="64"/>
        <v>49498.95</v>
      </c>
      <c r="I917" s="58">
        <f t="shared" si="65"/>
        <v>49498.95</v>
      </c>
      <c r="J917" s="126"/>
      <c r="K917" s="81"/>
      <c r="L917" s="208"/>
    </row>
    <row r="918" spans="1:12" s="54" customFormat="1" outlineLevel="1" x14ac:dyDescent="0.2">
      <c r="A918" s="51" t="s">
        <v>1325</v>
      </c>
      <c r="B918" s="103">
        <v>43220</v>
      </c>
      <c r="C918" s="103">
        <v>43465</v>
      </c>
      <c r="D918" s="194">
        <v>5</v>
      </c>
      <c r="E918" s="14">
        <v>11784.94</v>
      </c>
      <c r="F918" s="14">
        <v>27018.41</v>
      </c>
      <c r="G918" s="14"/>
      <c r="H918" s="58">
        <f t="shared" si="64"/>
        <v>38803.35</v>
      </c>
      <c r="I918" s="58">
        <f t="shared" si="65"/>
        <v>38803.35</v>
      </c>
      <c r="J918" s="126"/>
      <c r="K918" s="81"/>
      <c r="L918" s="208"/>
    </row>
    <row r="919" spans="1:12" s="54" customFormat="1" ht="24" outlineLevel="1" x14ac:dyDescent="0.2">
      <c r="A919" s="51" t="s">
        <v>1326</v>
      </c>
      <c r="B919" s="103">
        <v>43220</v>
      </c>
      <c r="C919" s="103">
        <v>43465</v>
      </c>
      <c r="D919" s="194">
        <v>50</v>
      </c>
      <c r="E919" s="14">
        <v>11312.13</v>
      </c>
      <c r="F919" s="14">
        <v>39082.129999999997</v>
      </c>
      <c r="G919" s="14"/>
      <c r="H919" s="58">
        <f t="shared" si="64"/>
        <v>50394.259999999995</v>
      </c>
      <c r="I919" s="58">
        <f t="shared" si="65"/>
        <v>50394.259999999995</v>
      </c>
      <c r="J919" s="126"/>
      <c r="K919" s="81"/>
      <c r="L919" s="208"/>
    </row>
    <row r="920" spans="1:12" s="54" customFormat="1" ht="24" outlineLevel="1" x14ac:dyDescent="0.2">
      <c r="A920" s="93" t="s">
        <v>625</v>
      </c>
      <c r="B920" s="103">
        <v>43090</v>
      </c>
      <c r="C920" s="103">
        <v>43465</v>
      </c>
      <c r="D920" s="194">
        <v>60</v>
      </c>
      <c r="E920" s="14">
        <v>8316.01</v>
      </c>
      <c r="F920" s="14">
        <v>3305.36</v>
      </c>
      <c r="G920" s="14">
        <v>0</v>
      </c>
      <c r="H920" s="58">
        <f t="shared" si="64"/>
        <v>11621.37</v>
      </c>
      <c r="I920" s="58">
        <f t="shared" si="65"/>
        <v>11621.37</v>
      </c>
      <c r="J920" s="126"/>
      <c r="K920" s="81"/>
      <c r="L920" s="208"/>
    </row>
    <row r="921" spans="1:12" s="54" customFormat="1" ht="24" outlineLevel="1" x14ac:dyDescent="0.2">
      <c r="A921" s="51" t="s">
        <v>1327</v>
      </c>
      <c r="B921" s="103">
        <v>43251</v>
      </c>
      <c r="C921" s="103">
        <v>43465</v>
      </c>
      <c r="D921" s="194">
        <v>50</v>
      </c>
      <c r="E921" s="14">
        <v>8096.62</v>
      </c>
      <c r="F921" s="14"/>
      <c r="G921" s="14"/>
      <c r="H921" s="58">
        <f t="shared" si="64"/>
        <v>8096.62</v>
      </c>
      <c r="I921" s="58">
        <f t="shared" si="65"/>
        <v>8096.62</v>
      </c>
      <c r="J921" s="126"/>
      <c r="K921" s="81"/>
      <c r="L921" s="208"/>
    </row>
    <row r="922" spans="1:12" s="54" customFormat="1" ht="24" outlineLevel="1" x14ac:dyDescent="0.2">
      <c r="A922" s="51" t="s">
        <v>1328</v>
      </c>
      <c r="B922" s="103">
        <v>43281</v>
      </c>
      <c r="C922" s="103">
        <v>43465</v>
      </c>
      <c r="D922" s="194">
        <v>50</v>
      </c>
      <c r="E922" s="14">
        <v>8936.6</v>
      </c>
      <c r="F922" s="14">
        <v>28515.97</v>
      </c>
      <c r="G922" s="14"/>
      <c r="H922" s="58">
        <f t="shared" si="64"/>
        <v>37452.57</v>
      </c>
      <c r="I922" s="58">
        <f t="shared" si="65"/>
        <v>37452.57</v>
      </c>
      <c r="J922" s="126"/>
      <c r="K922" s="81"/>
      <c r="L922" s="208"/>
    </row>
    <row r="923" spans="1:12" s="54" customFormat="1" ht="24" outlineLevel="1" x14ac:dyDescent="0.2">
      <c r="A923" s="51" t="s">
        <v>1329</v>
      </c>
      <c r="B923" s="103">
        <v>43251</v>
      </c>
      <c r="C923" s="103">
        <v>43465</v>
      </c>
      <c r="D923" s="194">
        <v>50</v>
      </c>
      <c r="E923" s="14">
        <v>10813.68</v>
      </c>
      <c r="F923" s="14"/>
      <c r="G923" s="14"/>
      <c r="H923" s="58">
        <f t="shared" si="64"/>
        <v>10813.68</v>
      </c>
      <c r="I923" s="58">
        <f t="shared" si="65"/>
        <v>10813.68</v>
      </c>
      <c r="J923" s="126"/>
      <c r="K923" s="81"/>
      <c r="L923" s="208"/>
    </row>
    <row r="924" spans="1:12" s="54" customFormat="1" outlineLevel="1" x14ac:dyDescent="0.2">
      <c r="A924" s="51" t="s">
        <v>1330</v>
      </c>
      <c r="B924" s="103">
        <v>43245</v>
      </c>
      <c r="C924" s="103">
        <v>43465</v>
      </c>
      <c r="D924" s="194">
        <v>50</v>
      </c>
      <c r="E924" s="14">
        <v>2717.06</v>
      </c>
      <c r="F924" s="14">
        <v>36458.949999999997</v>
      </c>
      <c r="G924" s="14"/>
      <c r="H924" s="58">
        <f t="shared" si="64"/>
        <v>39176.009999999995</v>
      </c>
      <c r="I924" s="58">
        <f t="shared" si="65"/>
        <v>39176.009999999995</v>
      </c>
      <c r="J924" s="126"/>
      <c r="K924" s="81"/>
      <c r="L924" s="208"/>
    </row>
    <row r="925" spans="1:12" s="54" customFormat="1" outlineLevel="1" x14ac:dyDescent="0.2">
      <c r="A925" s="51" t="s">
        <v>1331</v>
      </c>
      <c r="B925" s="103">
        <v>43251</v>
      </c>
      <c r="C925" s="103">
        <v>43465</v>
      </c>
      <c r="D925" s="194">
        <v>50</v>
      </c>
      <c r="E925" s="14">
        <v>10946.82</v>
      </c>
      <c r="F925" s="14"/>
      <c r="G925" s="14"/>
      <c r="H925" s="58">
        <f t="shared" si="64"/>
        <v>10946.82</v>
      </c>
      <c r="I925" s="58">
        <f t="shared" si="65"/>
        <v>10946.82</v>
      </c>
      <c r="J925" s="126"/>
      <c r="K925" s="81"/>
      <c r="L925" s="208"/>
    </row>
    <row r="926" spans="1:12" s="54" customFormat="1" outlineLevel="1" x14ac:dyDescent="0.2">
      <c r="A926" s="51" t="s">
        <v>1332</v>
      </c>
      <c r="B926" s="103">
        <v>43220</v>
      </c>
      <c r="C926" s="103">
        <v>43465</v>
      </c>
      <c r="D926" s="194">
        <v>50</v>
      </c>
      <c r="E926" s="14">
        <v>11673.26</v>
      </c>
      <c r="F926" s="14"/>
      <c r="G926" s="14"/>
      <c r="H926" s="58">
        <f t="shared" si="64"/>
        <v>11673.26</v>
      </c>
      <c r="I926" s="58">
        <f t="shared" si="65"/>
        <v>11673.26</v>
      </c>
      <c r="J926" s="126"/>
      <c r="K926" s="81"/>
      <c r="L926" s="208"/>
    </row>
    <row r="927" spans="1:12" s="54" customFormat="1" ht="24" outlineLevel="1" x14ac:dyDescent="0.2">
      <c r="A927" s="51" t="s">
        <v>1333</v>
      </c>
      <c r="B927" s="103">
        <v>43251</v>
      </c>
      <c r="C927" s="103">
        <v>43465</v>
      </c>
      <c r="D927" s="194">
        <v>50</v>
      </c>
      <c r="E927" s="14">
        <v>8203.85</v>
      </c>
      <c r="F927" s="14"/>
      <c r="G927" s="14"/>
      <c r="H927" s="58">
        <f t="shared" si="64"/>
        <v>8203.85</v>
      </c>
      <c r="I927" s="58">
        <f t="shared" si="65"/>
        <v>8203.85</v>
      </c>
      <c r="J927" s="126"/>
      <c r="K927" s="81"/>
      <c r="L927" s="208"/>
    </row>
    <row r="928" spans="1:12" s="54" customFormat="1" ht="24" outlineLevel="1" x14ac:dyDescent="0.2">
      <c r="A928" s="93" t="s">
        <v>626</v>
      </c>
      <c r="B928" s="103">
        <v>43094</v>
      </c>
      <c r="C928" s="103">
        <v>43465</v>
      </c>
      <c r="D928" s="194">
        <v>60</v>
      </c>
      <c r="E928" s="14">
        <v>7682.25</v>
      </c>
      <c r="F928" s="14">
        <v>29187.69</v>
      </c>
      <c r="G928" s="14">
        <v>0</v>
      </c>
      <c r="H928" s="58">
        <f t="shared" si="64"/>
        <v>36869.94</v>
      </c>
      <c r="I928" s="58">
        <f t="shared" si="65"/>
        <v>36869.94</v>
      </c>
      <c r="J928" s="126"/>
      <c r="K928" s="81"/>
      <c r="L928" s="208"/>
    </row>
    <row r="929" spans="1:12" s="54" customFormat="1" outlineLevel="1" x14ac:dyDescent="0.2">
      <c r="A929" s="51" t="s">
        <v>1409</v>
      </c>
      <c r="B929" s="103">
        <v>43251</v>
      </c>
      <c r="C929" s="103">
        <v>43465</v>
      </c>
      <c r="D929" s="194">
        <v>50</v>
      </c>
      <c r="E929" s="14">
        <v>8096.62</v>
      </c>
      <c r="F929" s="14"/>
      <c r="G929" s="14"/>
      <c r="H929" s="58">
        <f t="shared" si="64"/>
        <v>8096.62</v>
      </c>
      <c r="I929" s="58">
        <f t="shared" si="65"/>
        <v>8096.62</v>
      </c>
      <c r="J929" s="126"/>
      <c r="K929" s="81"/>
      <c r="L929" s="208"/>
    </row>
    <row r="930" spans="1:12" s="54" customFormat="1" outlineLevel="1" x14ac:dyDescent="0.2">
      <c r="A930" s="51" t="s">
        <v>1334</v>
      </c>
      <c r="B930" s="103">
        <v>43251</v>
      </c>
      <c r="C930" s="103">
        <v>43465</v>
      </c>
      <c r="D930" s="194">
        <v>50</v>
      </c>
      <c r="E930" s="14">
        <v>10987.61</v>
      </c>
      <c r="F930" s="14"/>
      <c r="G930" s="14"/>
      <c r="H930" s="58">
        <f t="shared" si="64"/>
        <v>10987.61</v>
      </c>
      <c r="I930" s="58">
        <f t="shared" si="65"/>
        <v>10987.61</v>
      </c>
      <c r="J930" s="126"/>
      <c r="K930" s="81"/>
      <c r="L930" s="208"/>
    </row>
    <row r="931" spans="1:12" s="54" customFormat="1" ht="24" outlineLevel="1" x14ac:dyDescent="0.2">
      <c r="A931" s="93" t="s">
        <v>627</v>
      </c>
      <c r="B931" s="103">
        <v>42754</v>
      </c>
      <c r="C931" s="103">
        <v>43180</v>
      </c>
      <c r="D931" s="194">
        <v>50</v>
      </c>
      <c r="E931" s="14">
        <v>17578.27</v>
      </c>
      <c r="F931" s="70">
        <f>53783.16+60504.96</f>
        <v>114288.12</v>
      </c>
      <c r="G931" s="14">
        <v>0</v>
      </c>
      <c r="H931" s="58">
        <f t="shared" si="64"/>
        <v>131866.38999999998</v>
      </c>
      <c r="I931" s="58">
        <f t="shared" si="65"/>
        <v>131866.38999999998</v>
      </c>
      <c r="J931" s="126"/>
      <c r="K931" s="81"/>
      <c r="L931" s="208"/>
    </row>
    <row r="932" spans="1:12" s="54" customFormat="1" ht="24" outlineLevel="1" x14ac:dyDescent="0.2">
      <c r="A932" s="93" t="s">
        <v>628</v>
      </c>
      <c r="B932" s="103">
        <v>42962</v>
      </c>
      <c r="C932" s="103">
        <v>43117</v>
      </c>
      <c r="D932" s="194">
        <v>90</v>
      </c>
      <c r="E932" s="70">
        <v>97104.15</v>
      </c>
      <c r="F932" s="70">
        <v>52467.67</v>
      </c>
      <c r="G932" s="14">
        <v>0</v>
      </c>
      <c r="H932" s="58">
        <f t="shared" si="64"/>
        <v>149571.82</v>
      </c>
      <c r="I932" s="58">
        <f t="shared" si="65"/>
        <v>149571.82</v>
      </c>
      <c r="J932" s="126"/>
      <c r="K932" s="81"/>
      <c r="L932" s="208"/>
    </row>
    <row r="933" spans="1:12" s="54" customFormat="1" ht="24" outlineLevel="1" x14ac:dyDescent="0.2">
      <c r="A933" s="93" t="s">
        <v>629</v>
      </c>
      <c r="B933" s="103">
        <v>42962</v>
      </c>
      <c r="C933" s="103">
        <v>43465</v>
      </c>
      <c r="D933" s="194">
        <v>50</v>
      </c>
      <c r="E933" s="14">
        <v>0</v>
      </c>
      <c r="F933" s="14">
        <v>8387.8700000000008</v>
      </c>
      <c r="G933" s="14">
        <v>0</v>
      </c>
      <c r="H933" s="58">
        <f t="shared" si="64"/>
        <v>8387.8700000000008</v>
      </c>
      <c r="I933" s="58">
        <f t="shared" si="65"/>
        <v>8387.8700000000008</v>
      </c>
      <c r="J933" s="126"/>
      <c r="K933" s="81"/>
      <c r="L933" s="208"/>
    </row>
    <row r="934" spans="1:12" s="54" customFormat="1" ht="24" outlineLevel="1" x14ac:dyDescent="0.2">
      <c r="A934" s="93" t="s">
        <v>630</v>
      </c>
      <c r="B934" s="103">
        <v>42725</v>
      </c>
      <c r="C934" s="103">
        <v>43465</v>
      </c>
      <c r="D934" s="194">
        <v>75</v>
      </c>
      <c r="E934" s="70">
        <v>18611.45</v>
      </c>
      <c r="F934" s="70">
        <v>74792.28</v>
      </c>
      <c r="G934" s="14">
        <v>0</v>
      </c>
      <c r="H934" s="58">
        <f t="shared" si="64"/>
        <v>93403.73</v>
      </c>
      <c r="I934" s="58">
        <f t="shared" si="65"/>
        <v>93403.73</v>
      </c>
      <c r="J934" s="126"/>
      <c r="K934" s="81"/>
      <c r="L934" s="208"/>
    </row>
    <row r="935" spans="1:12" s="54" customFormat="1" ht="24" outlineLevel="1" x14ac:dyDescent="0.2">
      <c r="A935" s="93" t="s">
        <v>631</v>
      </c>
      <c r="B935" s="103">
        <v>43007</v>
      </c>
      <c r="C935" s="103">
        <v>43465</v>
      </c>
      <c r="D935" s="194">
        <v>80</v>
      </c>
      <c r="E935" s="14">
        <v>8358.25</v>
      </c>
      <c r="F935" s="14">
        <v>24530.32</v>
      </c>
      <c r="G935" s="14">
        <v>0</v>
      </c>
      <c r="H935" s="58">
        <f t="shared" si="64"/>
        <v>32888.57</v>
      </c>
      <c r="I935" s="58">
        <f t="shared" si="65"/>
        <v>32888.57</v>
      </c>
      <c r="J935" s="126"/>
      <c r="K935" s="81"/>
      <c r="L935" s="208"/>
    </row>
    <row r="936" spans="1:12" s="54" customFormat="1" ht="24" outlineLevel="1" x14ac:dyDescent="0.2">
      <c r="A936" s="93" t="s">
        <v>632</v>
      </c>
      <c r="B936" s="103">
        <v>42801</v>
      </c>
      <c r="C936" s="103">
        <v>43465</v>
      </c>
      <c r="D936" s="194">
        <v>50</v>
      </c>
      <c r="E936" s="14">
        <v>0</v>
      </c>
      <c r="F936" s="14">
        <v>8330.75</v>
      </c>
      <c r="G936" s="14">
        <v>0</v>
      </c>
      <c r="H936" s="58">
        <f t="shared" si="64"/>
        <v>8330.75</v>
      </c>
      <c r="I936" s="58">
        <f t="shared" si="65"/>
        <v>8330.75</v>
      </c>
      <c r="J936" s="126"/>
      <c r="K936" s="81"/>
      <c r="L936" s="208"/>
    </row>
    <row r="937" spans="1:12" s="54" customFormat="1" ht="24" outlineLevel="1" x14ac:dyDescent="0.2">
      <c r="A937" s="22" t="s">
        <v>808</v>
      </c>
      <c r="B937" s="103">
        <v>42353</v>
      </c>
      <c r="C937" s="103">
        <v>43465</v>
      </c>
      <c r="D937" s="194">
        <v>40</v>
      </c>
      <c r="E937" s="14">
        <v>60902</v>
      </c>
      <c r="F937" s="14"/>
      <c r="G937" s="14"/>
      <c r="H937" s="58">
        <f t="shared" si="64"/>
        <v>60902</v>
      </c>
      <c r="I937" s="52">
        <f t="shared" si="65"/>
        <v>60902</v>
      </c>
      <c r="J937" s="126"/>
      <c r="K937" s="81"/>
      <c r="L937" s="208"/>
    </row>
    <row r="938" spans="1:12" s="54" customFormat="1" ht="24" outlineLevel="1" x14ac:dyDescent="0.2">
      <c r="A938" s="93" t="s">
        <v>633</v>
      </c>
      <c r="B938" s="103">
        <v>42704</v>
      </c>
      <c r="C938" s="103">
        <v>43465</v>
      </c>
      <c r="D938" s="194">
        <v>50</v>
      </c>
      <c r="E938" s="14">
        <v>0</v>
      </c>
      <c r="F938" s="14">
        <v>17615.59</v>
      </c>
      <c r="G938" s="14">
        <v>0</v>
      </c>
      <c r="H938" s="58">
        <f t="shared" si="64"/>
        <v>17615.59</v>
      </c>
      <c r="I938" s="58">
        <f t="shared" si="65"/>
        <v>17615.59</v>
      </c>
      <c r="J938" s="126"/>
      <c r="K938" s="81"/>
      <c r="L938" s="208"/>
    </row>
    <row r="939" spans="1:12" s="54" customFormat="1" ht="24" outlineLevel="1" x14ac:dyDescent="0.2">
      <c r="A939" s="22" t="s">
        <v>809</v>
      </c>
      <c r="B939" s="104">
        <v>42487</v>
      </c>
      <c r="C939" s="104">
        <v>43190</v>
      </c>
      <c r="D939" s="194">
        <v>98</v>
      </c>
      <c r="E939" s="14">
        <v>103348.97</v>
      </c>
      <c r="F939" s="14"/>
      <c r="G939" s="14"/>
      <c r="H939" s="58">
        <f t="shared" si="64"/>
        <v>103348.97</v>
      </c>
      <c r="I939" s="52">
        <f t="shared" si="65"/>
        <v>103348.97</v>
      </c>
      <c r="J939" s="126"/>
      <c r="K939" s="81"/>
      <c r="L939" s="208"/>
    </row>
    <row r="940" spans="1:12" s="54" customFormat="1" outlineLevel="1" x14ac:dyDescent="0.2">
      <c r="A940" s="93" t="s">
        <v>634</v>
      </c>
      <c r="B940" s="103">
        <v>42873</v>
      </c>
      <c r="C940" s="103">
        <v>43465</v>
      </c>
      <c r="D940" s="194">
        <v>50</v>
      </c>
      <c r="E940" s="14">
        <v>0</v>
      </c>
      <c r="F940" s="14">
        <v>9660.36</v>
      </c>
      <c r="G940" s="14">
        <v>0</v>
      </c>
      <c r="H940" s="58">
        <f t="shared" si="64"/>
        <v>9660.36</v>
      </c>
      <c r="I940" s="58">
        <f t="shared" si="65"/>
        <v>9660.36</v>
      </c>
      <c r="J940" s="126"/>
      <c r="K940" s="81"/>
      <c r="L940" s="208"/>
    </row>
    <row r="941" spans="1:12" s="54" customFormat="1" ht="24" outlineLevel="1" x14ac:dyDescent="0.2">
      <c r="A941" s="93" t="s">
        <v>635</v>
      </c>
      <c r="B941" s="103">
        <v>42794</v>
      </c>
      <c r="C941" s="103">
        <v>43465</v>
      </c>
      <c r="D941" s="194">
        <v>60</v>
      </c>
      <c r="E941" s="14">
        <v>8096.62</v>
      </c>
      <c r="F941" s="14">
        <v>11370.3</v>
      </c>
      <c r="G941" s="14">
        <v>0</v>
      </c>
      <c r="H941" s="58">
        <f t="shared" si="64"/>
        <v>19466.919999999998</v>
      </c>
      <c r="I941" s="58">
        <f t="shared" si="65"/>
        <v>19466.919999999998</v>
      </c>
      <c r="J941" s="126"/>
      <c r="K941" s="81"/>
      <c r="L941" s="208"/>
    </row>
    <row r="942" spans="1:12" s="54" customFormat="1" ht="24" outlineLevel="1" x14ac:dyDescent="0.2">
      <c r="A942" s="93" t="s">
        <v>636</v>
      </c>
      <c r="B942" s="103">
        <v>42954</v>
      </c>
      <c r="C942" s="103">
        <v>43465</v>
      </c>
      <c r="D942" s="194">
        <v>60</v>
      </c>
      <c r="E942" s="70">
        <v>28040</v>
      </c>
      <c r="F942" s="70">
        <f>20198.39+200311.49</f>
        <v>220509.88</v>
      </c>
      <c r="G942" s="14">
        <v>0</v>
      </c>
      <c r="H942" s="58">
        <f t="shared" si="64"/>
        <v>248549.88</v>
      </c>
      <c r="I942" s="58">
        <f t="shared" si="65"/>
        <v>248549.88</v>
      </c>
      <c r="J942" s="126"/>
      <c r="K942" s="81"/>
      <c r="L942" s="208"/>
    </row>
    <row r="943" spans="1:12" s="54" customFormat="1" ht="24" outlineLevel="1" x14ac:dyDescent="0.2">
      <c r="A943" s="93" t="s">
        <v>637</v>
      </c>
      <c r="B943" s="103">
        <v>42713</v>
      </c>
      <c r="C943" s="103">
        <v>43465</v>
      </c>
      <c r="D943" s="194">
        <v>60</v>
      </c>
      <c r="E943" s="14">
        <v>0</v>
      </c>
      <c r="F943" s="14">
        <v>6419.39</v>
      </c>
      <c r="G943" s="14">
        <v>0</v>
      </c>
      <c r="H943" s="58">
        <f t="shared" si="64"/>
        <v>6419.39</v>
      </c>
      <c r="I943" s="58">
        <f t="shared" si="65"/>
        <v>6419.39</v>
      </c>
      <c r="J943" s="126"/>
      <c r="K943" s="81"/>
      <c r="L943" s="208"/>
    </row>
    <row r="944" spans="1:12" s="54" customFormat="1" outlineLevel="1" x14ac:dyDescent="0.2">
      <c r="A944" s="22" t="s">
        <v>810</v>
      </c>
      <c r="B944" s="103">
        <v>42579</v>
      </c>
      <c r="C944" s="103">
        <v>43465</v>
      </c>
      <c r="D944" s="194">
        <v>40</v>
      </c>
      <c r="E944" s="14"/>
      <c r="F944" s="14">
        <v>427733</v>
      </c>
      <c r="G944" s="14"/>
      <c r="H944" s="58">
        <f t="shared" si="64"/>
        <v>427733</v>
      </c>
      <c r="I944" s="52">
        <f t="shared" si="65"/>
        <v>427733</v>
      </c>
      <c r="J944" s="126"/>
      <c r="K944" s="81"/>
      <c r="L944" s="208"/>
    </row>
    <row r="945" spans="1:12" s="54" customFormat="1" ht="24" outlineLevel="1" x14ac:dyDescent="0.2">
      <c r="A945" s="93" t="s">
        <v>638</v>
      </c>
      <c r="B945" s="103">
        <v>43017</v>
      </c>
      <c r="C945" s="103">
        <v>43465</v>
      </c>
      <c r="D945" s="194">
        <v>55</v>
      </c>
      <c r="E945" s="14">
        <v>26370.05</v>
      </c>
      <c r="F945" s="14">
        <v>2252.08</v>
      </c>
      <c r="G945" s="14">
        <v>0</v>
      </c>
      <c r="H945" s="58">
        <f t="shared" si="64"/>
        <v>28622.129999999997</v>
      </c>
      <c r="I945" s="58">
        <f t="shared" si="65"/>
        <v>28622.129999999997</v>
      </c>
      <c r="J945" s="126"/>
      <c r="K945" s="81"/>
      <c r="L945" s="208"/>
    </row>
    <row r="946" spans="1:12" s="54" customFormat="1" ht="24" outlineLevel="1" x14ac:dyDescent="0.2">
      <c r="A946" s="22" t="s">
        <v>811</v>
      </c>
      <c r="B946" s="104">
        <v>42702</v>
      </c>
      <c r="C946" s="103">
        <v>43190</v>
      </c>
      <c r="D946" s="194">
        <v>98</v>
      </c>
      <c r="E946" s="14">
        <v>137279.43</v>
      </c>
      <c r="F946" s="14"/>
      <c r="G946" s="14"/>
      <c r="H946" s="58">
        <f t="shared" si="64"/>
        <v>137279.43</v>
      </c>
      <c r="I946" s="52">
        <f t="shared" si="65"/>
        <v>137279.43</v>
      </c>
      <c r="J946" s="126"/>
      <c r="K946" s="81"/>
      <c r="L946" s="208"/>
    </row>
    <row r="947" spans="1:12" s="54" customFormat="1" outlineLevel="1" x14ac:dyDescent="0.2">
      <c r="A947" s="51" t="s">
        <v>1335</v>
      </c>
      <c r="B947" s="104">
        <v>43281</v>
      </c>
      <c r="C947" s="103">
        <v>43465</v>
      </c>
      <c r="D947" s="194">
        <v>40</v>
      </c>
      <c r="E947" s="14">
        <v>8936.64</v>
      </c>
      <c r="F947" s="14"/>
      <c r="G947" s="14"/>
      <c r="H947" s="58">
        <f t="shared" si="64"/>
        <v>8936.64</v>
      </c>
      <c r="I947" s="52">
        <f t="shared" si="65"/>
        <v>8936.64</v>
      </c>
      <c r="J947" s="126"/>
      <c r="K947" s="81"/>
      <c r="L947" s="208"/>
    </row>
    <row r="948" spans="1:12" s="54" customFormat="1" outlineLevel="1" x14ac:dyDescent="0.2">
      <c r="A948" s="93" t="s">
        <v>639</v>
      </c>
      <c r="B948" s="103">
        <v>43088</v>
      </c>
      <c r="C948" s="103">
        <v>43465</v>
      </c>
      <c r="D948" s="194">
        <v>70</v>
      </c>
      <c r="E948" s="14">
        <v>0</v>
      </c>
      <c r="F948" s="14">
        <v>11693.23</v>
      </c>
      <c r="G948" s="14">
        <v>0</v>
      </c>
      <c r="H948" s="58">
        <f t="shared" si="64"/>
        <v>11693.23</v>
      </c>
      <c r="I948" s="58">
        <f t="shared" si="65"/>
        <v>11693.23</v>
      </c>
      <c r="J948" s="126"/>
      <c r="K948" s="81"/>
      <c r="L948" s="208"/>
    </row>
    <row r="949" spans="1:12" s="54" customFormat="1" ht="24" outlineLevel="1" x14ac:dyDescent="0.2">
      <c r="A949" s="93" t="s">
        <v>640</v>
      </c>
      <c r="B949" s="103">
        <v>42978</v>
      </c>
      <c r="C949" s="103">
        <v>43465</v>
      </c>
      <c r="D949" s="194">
        <v>50</v>
      </c>
      <c r="E949" s="70">
        <v>59073.11</v>
      </c>
      <c r="F949" s="70">
        <f>35082.25+5500</f>
        <v>40582.25</v>
      </c>
      <c r="G949" s="14">
        <v>0</v>
      </c>
      <c r="H949" s="58">
        <f t="shared" si="64"/>
        <v>99655.360000000001</v>
      </c>
      <c r="I949" s="58">
        <f>H949</f>
        <v>99655.360000000001</v>
      </c>
      <c r="J949" s="126"/>
      <c r="K949" s="81"/>
      <c r="L949" s="208"/>
    </row>
    <row r="950" spans="1:12" s="54" customFormat="1" ht="24" outlineLevel="1" x14ac:dyDescent="0.2">
      <c r="A950" s="93" t="s">
        <v>641</v>
      </c>
      <c r="B950" s="103">
        <v>43056</v>
      </c>
      <c r="C950" s="103">
        <v>43465</v>
      </c>
      <c r="D950" s="194">
        <v>55</v>
      </c>
      <c r="E950" s="70">
        <v>24850.18</v>
      </c>
      <c r="F950" s="70">
        <v>10459.08</v>
      </c>
      <c r="G950" s="14">
        <v>0</v>
      </c>
      <c r="H950" s="58">
        <f t="shared" si="64"/>
        <v>35309.26</v>
      </c>
      <c r="I950" s="58">
        <f>H950</f>
        <v>35309.26</v>
      </c>
      <c r="J950" s="126"/>
      <c r="K950" s="81"/>
      <c r="L950" s="208"/>
    </row>
    <row r="951" spans="1:12" s="54" customFormat="1" outlineLevel="1" x14ac:dyDescent="0.2">
      <c r="A951" s="51" t="s">
        <v>1336</v>
      </c>
      <c r="B951" s="103">
        <v>43220</v>
      </c>
      <c r="C951" s="103">
        <v>43465</v>
      </c>
      <c r="D951" s="194">
        <v>50</v>
      </c>
      <c r="E951" s="14">
        <v>5099.82</v>
      </c>
      <c r="F951" s="14"/>
      <c r="G951" s="14"/>
      <c r="H951" s="58">
        <f t="shared" si="64"/>
        <v>5099.82</v>
      </c>
      <c r="I951" s="58">
        <f t="shared" ref="I951:I954" si="66">H951</f>
        <v>5099.82</v>
      </c>
      <c r="J951" s="126"/>
      <c r="K951" s="81"/>
      <c r="L951" s="208"/>
    </row>
    <row r="952" spans="1:12" s="54" customFormat="1" ht="24" outlineLevel="1" x14ac:dyDescent="0.2">
      <c r="A952" s="51" t="s">
        <v>1337</v>
      </c>
      <c r="B952" s="103">
        <v>43251</v>
      </c>
      <c r="C952" s="103">
        <v>43465</v>
      </c>
      <c r="D952" s="194">
        <v>50</v>
      </c>
      <c r="E952" s="14">
        <v>8229.76</v>
      </c>
      <c r="F952" s="14"/>
      <c r="G952" s="14"/>
      <c r="H952" s="58">
        <f t="shared" si="64"/>
        <v>8229.76</v>
      </c>
      <c r="I952" s="58">
        <f t="shared" si="66"/>
        <v>8229.76</v>
      </c>
      <c r="J952" s="126"/>
      <c r="K952" s="81"/>
      <c r="L952" s="208"/>
    </row>
    <row r="953" spans="1:12" s="54" customFormat="1" outlineLevel="1" x14ac:dyDescent="0.2">
      <c r="A953" s="51" t="s">
        <v>1338</v>
      </c>
      <c r="B953" s="103">
        <v>43281</v>
      </c>
      <c r="C953" s="103">
        <v>43465</v>
      </c>
      <c r="D953" s="194">
        <v>50</v>
      </c>
      <c r="E953" s="14">
        <v>8954.56</v>
      </c>
      <c r="F953" s="14"/>
      <c r="G953" s="14"/>
      <c r="H953" s="58">
        <f t="shared" si="64"/>
        <v>8954.56</v>
      </c>
      <c r="I953" s="58">
        <f t="shared" si="66"/>
        <v>8954.56</v>
      </c>
      <c r="J953" s="126"/>
      <c r="K953" s="81"/>
      <c r="L953" s="208"/>
    </row>
    <row r="954" spans="1:12" s="54" customFormat="1" outlineLevel="1" x14ac:dyDescent="0.2">
      <c r="A954" s="51" t="s">
        <v>1339</v>
      </c>
      <c r="B954" s="103">
        <v>43220</v>
      </c>
      <c r="C954" s="103">
        <v>43465</v>
      </c>
      <c r="D954" s="194">
        <v>50</v>
      </c>
      <c r="E954" s="14">
        <v>11084.96</v>
      </c>
      <c r="F954" s="14"/>
      <c r="G954" s="14"/>
      <c r="H954" s="58">
        <f t="shared" si="64"/>
        <v>11084.96</v>
      </c>
      <c r="I954" s="58">
        <f t="shared" si="66"/>
        <v>11084.96</v>
      </c>
      <c r="J954" s="126"/>
      <c r="K954" s="81"/>
      <c r="L954" s="208"/>
    </row>
    <row r="955" spans="1:12" s="54" customFormat="1" outlineLevel="1" x14ac:dyDescent="0.2">
      <c r="A955" s="93" t="s">
        <v>642</v>
      </c>
      <c r="B955" s="103">
        <v>43010</v>
      </c>
      <c r="C955" s="103">
        <v>43465</v>
      </c>
      <c r="D955" s="194">
        <v>50</v>
      </c>
      <c r="E955" s="14">
        <v>7867.04</v>
      </c>
      <c r="F955" s="14">
        <v>28362.49</v>
      </c>
      <c r="G955" s="14">
        <v>0</v>
      </c>
      <c r="H955" s="58">
        <f t="shared" ref="H955:H1018" si="67">E955+F955+G955</f>
        <v>36229.53</v>
      </c>
      <c r="I955" s="58">
        <f t="shared" si="65"/>
        <v>36229.53</v>
      </c>
      <c r="J955" s="126"/>
      <c r="K955" s="81"/>
      <c r="L955" s="208"/>
    </row>
    <row r="956" spans="1:12" s="54" customFormat="1" outlineLevel="1" x14ac:dyDescent="0.2">
      <c r="A956" s="51" t="s">
        <v>1340</v>
      </c>
      <c r="B956" s="103">
        <v>43251</v>
      </c>
      <c r="C956" s="103">
        <v>43465</v>
      </c>
      <c r="D956" s="194">
        <v>50</v>
      </c>
      <c r="E956" s="14">
        <v>8060.64</v>
      </c>
      <c r="F956" s="14"/>
      <c r="G956" s="14"/>
      <c r="H956" s="58">
        <f t="shared" si="67"/>
        <v>8060.64</v>
      </c>
      <c r="I956" s="58">
        <f t="shared" si="65"/>
        <v>8060.64</v>
      </c>
      <c r="J956" s="126"/>
      <c r="K956" s="81"/>
      <c r="L956" s="208"/>
    </row>
    <row r="957" spans="1:12" s="54" customFormat="1" ht="24" outlineLevel="1" x14ac:dyDescent="0.2">
      <c r="A957" s="93" t="s">
        <v>643</v>
      </c>
      <c r="B957" s="103"/>
      <c r="C957" s="103">
        <v>43465</v>
      </c>
      <c r="D957" s="194">
        <v>50</v>
      </c>
      <c r="E957" s="14">
        <v>9319.17</v>
      </c>
      <c r="F957" s="97">
        <v>31635.41</v>
      </c>
      <c r="G957" s="14">
        <v>0</v>
      </c>
      <c r="H957" s="58">
        <f t="shared" si="67"/>
        <v>40954.58</v>
      </c>
      <c r="I957" s="58">
        <f t="shared" si="65"/>
        <v>40954.58</v>
      </c>
      <c r="J957" s="126"/>
      <c r="K957" s="81"/>
      <c r="L957" s="208"/>
    </row>
    <row r="958" spans="1:12" s="54" customFormat="1" ht="24" outlineLevel="1" x14ac:dyDescent="0.2">
      <c r="A958" s="93" t="s">
        <v>644</v>
      </c>
      <c r="B958" s="103">
        <v>42985</v>
      </c>
      <c r="C958" s="103">
        <v>43465</v>
      </c>
      <c r="D958" s="194">
        <v>60</v>
      </c>
      <c r="E958" s="70">
        <v>7624.37</v>
      </c>
      <c r="F958" s="70">
        <v>6485.52</v>
      </c>
      <c r="G958" s="14">
        <v>0</v>
      </c>
      <c r="H958" s="58">
        <f t="shared" si="67"/>
        <v>14109.89</v>
      </c>
      <c r="I958" s="58">
        <f t="shared" si="65"/>
        <v>14109.89</v>
      </c>
      <c r="J958" s="126"/>
      <c r="K958" s="81"/>
      <c r="L958" s="208"/>
    </row>
    <row r="959" spans="1:12" s="54" customFormat="1" ht="24" outlineLevel="1" x14ac:dyDescent="0.2">
      <c r="A959" s="93" t="s">
        <v>645</v>
      </c>
      <c r="B959" s="103">
        <v>42985</v>
      </c>
      <c r="C959" s="103">
        <v>43465</v>
      </c>
      <c r="D959" s="194">
        <v>60</v>
      </c>
      <c r="E959" s="14">
        <v>5764.64</v>
      </c>
      <c r="F959" s="14">
        <v>6485.52</v>
      </c>
      <c r="G959" s="14">
        <v>0</v>
      </c>
      <c r="H959" s="58">
        <f t="shared" si="67"/>
        <v>12250.16</v>
      </c>
      <c r="I959" s="58">
        <f t="shared" si="65"/>
        <v>12250.16</v>
      </c>
      <c r="J959" s="126"/>
      <c r="K959" s="81"/>
      <c r="L959" s="208"/>
    </row>
    <row r="960" spans="1:12" s="54" customFormat="1" ht="24" outlineLevel="1" x14ac:dyDescent="0.2">
      <c r="A960" s="93" t="s">
        <v>646</v>
      </c>
      <c r="B960" s="103">
        <v>43139</v>
      </c>
      <c r="C960" s="103">
        <v>43465</v>
      </c>
      <c r="D960" s="194">
        <v>40</v>
      </c>
      <c r="E960" s="14">
        <v>0</v>
      </c>
      <c r="F960" s="14">
        <v>10987.61</v>
      </c>
      <c r="G960" s="14">
        <v>0</v>
      </c>
      <c r="H960" s="58">
        <f t="shared" si="67"/>
        <v>10987.61</v>
      </c>
      <c r="I960" s="58">
        <f t="shared" si="65"/>
        <v>10987.61</v>
      </c>
      <c r="J960" s="126"/>
      <c r="K960" s="81"/>
      <c r="L960" s="208"/>
    </row>
    <row r="961" spans="1:12" s="54" customFormat="1" outlineLevel="1" x14ac:dyDescent="0.2">
      <c r="A961" s="51" t="s">
        <v>1341</v>
      </c>
      <c r="B961" s="103">
        <v>43281</v>
      </c>
      <c r="C961" s="103">
        <v>43465</v>
      </c>
      <c r="D961" s="194">
        <v>40</v>
      </c>
      <c r="E961" s="14">
        <v>8936.64</v>
      </c>
      <c r="F961" s="14"/>
      <c r="G961" s="14"/>
      <c r="H961" s="58">
        <f t="shared" si="67"/>
        <v>8936.64</v>
      </c>
      <c r="I961" s="58">
        <f t="shared" si="65"/>
        <v>8936.64</v>
      </c>
      <c r="J961" s="126"/>
      <c r="K961" s="81"/>
      <c r="L961" s="208"/>
    </row>
    <row r="962" spans="1:12" s="54" customFormat="1" outlineLevel="1" x14ac:dyDescent="0.2">
      <c r="A962" s="51" t="s">
        <v>1342</v>
      </c>
      <c r="B962" s="103">
        <v>43281</v>
      </c>
      <c r="C962" s="103">
        <v>43465</v>
      </c>
      <c r="D962" s="194">
        <v>40</v>
      </c>
      <c r="E962" s="14">
        <v>11653.7</v>
      </c>
      <c r="F962" s="14"/>
      <c r="G962" s="14"/>
      <c r="H962" s="58">
        <f t="shared" si="67"/>
        <v>11653.7</v>
      </c>
      <c r="I962" s="58">
        <f t="shared" si="65"/>
        <v>11653.7</v>
      </c>
      <c r="J962" s="126"/>
      <c r="K962" s="81"/>
      <c r="L962" s="208"/>
    </row>
    <row r="963" spans="1:12" s="54" customFormat="1" outlineLevel="1" x14ac:dyDescent="0.2">
      <c r="A963" s="93" t="s">
        <v>647</v>
      </c>
      <c r="B963" s="103">
        <v>42993</v>
      </c>
      <c r="C963" s="103">
        <v>43133</v>
      </c>
      <c r="D963" s="194">
        <v>90</v>
      </c>
      <c r="E963" s="14">
        <f>24834.9+3622.99</f>
        <v>28457.89</v>
      </c>
      <c r="F963" s="14">
        <f>6680.76+14496.32</f>
        <v>21177.08</v>
      </c>
      <c r="G963" s="14">
        <v>0</v>
      </c>
      <c r="H963" s="58">
        <f t="shared" si="67"/>
        <v>49634.97</v>
      </c>
      <c r="I963" s="58">
        <f t="shared" si="65"/>
        <v>49634.97</v>
      </c>
      <c r="J963" s="126"/>
      <c r="K963" s="81"/>
      <c r="L963" s="208"/>
    </row>
    <row r="964" spans="1:12" s="54" customFormat="1" outlineLevel="1" x14ac:dyDescent="0.2">
      <c r="A964" s="51" t="s">
        <v>1343</v>
      </c>
      <c r="B964" s="103">
        <v>43281</v>
      </c>
      <c r="C964" s="103">
        <v>43465</v>
      </c>
      <c r="D964" s="194">
        <v>40</v>
      </c>
      <c r="E964" s="14">
        <v>8936.64</v>
      </c>
      <c r="F964" s="14"/>
      <c r="G964" s="14"/>
      <c r="H964" s="58">
        <f t="shared" si="67"/>
        <v>8936.64</v>
      </c>
      <c r="I964" s="58">
        <f t="shared" si="65"/>
        <v>8936.64</v>
      </c>
      <c r="J964" s="126"/>
      <c r="K964" s="81"/>
      <c r="L964" s="208"/>
    </row>
    <row r="965" spans="1:12" s="54" customFormat="1" outlineLevel="1" x14ac:dyDescent="0.2">
      <c r="A965" s="93" t="s">
        <v>648</v>
      </c>
      <c r="B965" s="103">
        <v>43094</v>
      </c>
      <c r="C965" s="103">
        <v>43465</v>
      </c>
      <c r="D965" s="194">
        <v>60</v>
      </c>
      <c r="E965" s="14">
        <v>7682.25</v>
      </c>
      <c r="F965" s="14">
        <v>29706.55</v>
      </c>
      <c r="G965" s="14">
        <v>0</v>
      </c>
      <c r="H965" s="58">
        <f t="shared" si="67"/>
        <v>37388.800000000003</v>
      </c>
      <c r="I965" s="58">
        <f t="shared" si="65"/>
        <v>37388.800000000003</v>
      </c>
      <c r="J965" s="126"/>
      <c r="K965" s="81"/>
      <c r="L965" s="208"/>
    </row>
    <row r="966" spans="1:12" s="54" customFormat="1" outlineLevel="1" x14ac:dyDescent="0.2">
      <c r="A966" s="93" t="s">
        <v>649</v>
      </c>
      <c r="B966" s="103">
        <v>42984</v>
      </c>
      <c r="C966" s="103">
        <v>43465</v>
      </c>
      <c r="D966" s="194">
        <v>55</v>
      </c>
      <c r="E966" s="14">
        <v>9306.27</v>
      </c>
      <c r="F966" s="14">
        <v>39006.49</v>
      </c>
      <c r="G966" s="14">
        <v>0</v>
      </c>
      <c r="H966" s="58">
        <f t="shared" si="67"/>
        <v>48312.759999999995</v>
      </c>
      <c r="I966" s="58">
        <f t="shared" ref="I966:I1047" si="68">H966</f>
        <v>48312.759999999995</v>
      </c>
      <c r="J966" s="126"/>
      <c r="K966" s="81"/>
      <c r="L966" s="208"/>
    </row>
    <row r="967" spans="1:12" s="54" customFormat="1" ht="24" outlineLevel="1" x14ac:dyDescent="0.2">
      <c r="A967" s="93" t="s">
        <v>650</v>
      </c>
      <c r="B967" s="103">
        <v>42984</v>
      </c>
      <c r="C967" s="103">
        <v>43465</v>
      </c>
      <c r="D967" s="194">
        <v>50</v>
      </c>
      <c r="E967" s="14">
        <v>34734.33</v>
      </c>
      <c r="F967" s="14">
        <f>6711.41+640</f>
        <v>7351.41</v>
      </c>
      <c r="G967" s="14">
        <v>0</v>
      </c>
      <c r="H967" s="58">
        <f t="shared" si="67"/>
        <v>42085.740000000005</v>
      </c>
      <c r="I967" s="58">
        <f t="shared" si="68"/>
        <v>42085.740000000005</v>
      </c>
      <c r="J967" s="126"/>
      <c r="K967" s="81"/>
      <c r="L967" s="208"/>
    </row>
    <row r="968" spans="1:12" s="54" customFormat="1" ht="24" outlineLevel="1" x14ac:dyDescent="0.2">
      <c r="A968" s="93" t="s">
        <v>651</v>
      </c>
      <c r="B968" s="103">
        <v>42984</v>
      </c>
      <c r="C968" s="103">
        <v>43465</v>
      </c>
      <c r="D968" s="194">
        <v>50</v>
      </c>
      <c r="E968" s="14">
        <v>33854</v>
      </c>
      <c r="F968" s="14">
        <f>9134.88+640</f>
        <v>9774.8799999999992</v>
      </c>
      <c r="G968" s="14">
        <v>0</v>
      </c>
      <c r="H968" s="58">
        <f t="shared" si="67"/>
        <v>43628.88</v>
      </c>
      <c r="I968" s="58">
        <f t="shared" si="68"/>
        <v>43628.88</v>
      </c>
      <c r="J968" s="126"/>
      <c r="K968" s="81"/>
      <c r="L968" s="208"/>
    </row>
    <row r="969" spans="1:12" s="54" customFormat="1" ht="24" outlineLevel="1" x14ac:dyDescent="0.2">
      <c r="A969" s="93" t="s">
        <v>652</v>
      </c>
      <c r="B969" s="103">
        <v>43021</v>
      </c>
      <c r="C969" s="103">
        <v>43465</v>
      </c>
      <c r="D969" s="194">
        <v>60</v>
      </c>
      <c r="E969" s="14">
        <v>27840.2</v>
      </c>
      <c r="F969" s="14">
        <v>8713.74</v>
      </c>
      <c r="G969" s="14">
        <v>0</v>
      </c>
      <c r="H969" s="58">
        <f t="shared" si="67"/>
        <v>36553.94</v>
      </c>
      <c r="I969" s="58">
        <f t="shared" si="68"/>
        <v>36553.94</v>
      </c>
      <c r="J969" s="126"/>
      <c r="K969" s="81"/>
      <c r="L969" s="208"/>
    </row>
    <row r="970" spans="1:12" s="54" customFormat="1" outlineLevel="1" x14ac:dyDescent="0.2">
      <c r="A970" s="93" t="s">
        <v>653</v>
      </c>
      <c r="B970" s="103">
        <v>43150</v>
      </c>
      <c r="C970" s="103">
        <v>43465</v>
      </c>
      <c r="D970" s="194">
        <v>45</v>
      </c>
      <c r="E970" s="14">
        <v>0</v>
      </c>
      <c r="F970" s="14">
        <v>11114.41</v>
      </c>
      <c r="G970" s="14">
        <v>0</v>
      </c>
      <c r="H970" s="58">
        <f t="shared" si="67"/>
        <v>11114.41</v>
      </c>
      <c r="I970" s="58">
        <f t="shared" si="68"/>
        <v>11114.41</v>
      </c>
      <c r="J970" s="126"/>
      <c r="K970" s="81"/>
      <c r="L970" s="208"/>
    </row>
    <row r="971" spans="1:12" s="54" customFormat="1" outlineLevel="1" x14ac:dyDescent="0.2">
      <c r="A971" s="93" t="s">
        <v>654</v>
      </c>
      <c r="B971" s="103">
        <v>43060</v>
      </c>
      <c r="C971" s="103">
        <v>43465</v>
      </c>
      <c r="D971" s="194">
        <v>45</v>
      </c>
      <c r="E971" s="14">
        <v>0</v>
      </c>
      <c r="F971" s="14">
        <v>10726.22</v>
      </c>
      <c r="G971" s="14">
        <v>0</v>
      </c>
      <c r="H971" s="58">
        <f t="shared" si="67"/>
        <v>10726.22</v>
      </c>
      <c r="I971" s="58">
        <f t="shared" si="68"/>
        <v>10726.22</v>
      </c>
      <c r="J971" s="126"/>
      <c r="K971" s="81"/>
      <c r="L971" s="208"/>
    </row>
    <row r="972" spans="1:12" s="54" customFormat="1" outlineLevel="1" x14ac:dyDescent="0.2">
      <c r="A972" s="51" t="s">
        <v>1344</v>
      </c>
      <c r="B972" s="103">
        <v>43281</v>
      </c>
      <c r="C972" s="103">
        <v>43465</v>
      </c>
      <c r="D972" s="194">
        <v>45</v>
      </c>
      <c r="E972" s="14"/>
      <c r="F972" s="14">
        <v>30397.63</v>
      </c>
      <c r="G972" s="14"/>
      <c r="H972" s="58">
        <f t="shared" si="67"/>
        <v>30397.63</v>
      </c>
      <c r="I972" s="58">
        <f t="shared" si="68"/>
        <v>30397.63</v>
      </c>
      <c r="J972" s="126"/>
      <c r="K972" s="81"/>
      <c r="L972" s="208"/>
    </row>
    <row r="973" spans="1:12" s="54" customFormat="1" ht="24" outlineLevel="1" x14ac:dyDescent="0.2">
      <c r="A973" s="51" t="s">
        <v>1345</v>
      </c>
      <c r="B973" s="103">
        <v>43220</v>
      </c>
      <c r="C973" s="103">
        <v>43465</v>
      </c>
      <c r="D973" s="194">
        <v>40</v>
      </c>
      <c r="E973" s="14">
        <v>11312.13</v>
      </c>
      <c r="F973" s="14"/>
      <c r="G973" s="14"/>
      <c r="H973" s="58">
        <f t="shared" si="67"/>
        <v>11312.13</v>
      </c>
      <c r="I973" s="58">
        <f t="shared" si="68"/>
        <v>11312.13</v>
      </c>
      <c r="J973" s="126"/>
      <c r="K973" s="81"/>
      <c r="L973" s="208"/>
    </row>
    <row r="974" spans="1:12" s="54" customFormat="1" ht="24" outlineLevel="1" x14ac:dyDescent="0.2">
      <c r="A974" s="51" t="s">
        <v>1346</v>
      </c>
      <c r="B974" s="103">
        <v>43281</v>
      </c>
      <c r="C974" s="103">
        <v>43465</v>
      </c>
      <c r="D974" s="194">
        <v>40</v>
      </c>
      <c r="E974" s="14">
        <v>11653.7</v>
      </c>
      <c r="F974" s="14"/>
      <c r="G974" s="14"/>
      <c r="H974" s="58">
        <f t="shared" si="67"/>
        <v>11653.7</v>
      </c>
      <c r="I974" s="58">
        <f t="shared" si="68"/>
        <v>11653.7</v>
      </c>
      <c r="J974" s="126"/>
      <c r="K974" s="81"/>
      <c r="L974" s="208"/>
    </row>
    <row r="975" spans="1:12" s="54" customFormat="1" ht="24" outlineLevel="1" x14ac:dyDescent="0.2">
      <c r="A975" s="93" t="s">
        <v>655</v>
      </c>
      <c r="B975" s="103">
        <v>43096</v>
      </c>
      <c r="C975" s="103">
        <v>43465</v>
      </c>
      <c r="D975" s="194">
        <v>40</v>
      </c>
      <c r="E975" s="14">
        <v>0</v>
      </c>
      <c r="F975" s="14">
        <v>8402.6200000000008</v>
      </c>
      <c r="G975" s="14">
        <v>0</v>
      </c>
      <c r="H975" s="58">
        <f t="shared" si="67"/>
        <v>8402.6200000000008</v>
      </c>
      <c r="I975" s="58">
        <f t="shared" si="68"/>
        <v>8402.6200000000008</v>
      </c>
      <c r="J975" s="126"/>
      <c r="K975" s="81"/>
      <c r="L975" s="208"/>
    </row>
    <row r="976" spans="1:12" s="54" customFormat="1" ht="24" outlineLevel="1" x14ac:dyDescent="0.2">
      <c r="A976" s="51" t="s">
        <v>1347</v>
      </c>
      <c r="B976" s="103">
        <v>43281</v>
      </c>
      <c r="C976" s="103">
        <v>43465</v>
      </c>
      <c r="D976" s="194">
        <v>40</v>
      </c>
      <c r="E976" s="14">
        <v>8833.33</v>
      </c>
      <c r="F976" s="14"/>
      <c r="G976" s="14"/>
      <c r="H976" s="58">
        <f t="shared" si="67"/>
        <v>8833.33</v>
      </c>
      <c r="I976" s="58">
        <f t="shared" si="68"/>
        <v>8833.33</v>
      </c>
      <c r="J976" s="126"/>
      <c r="K976" s="81"/>
      <c r="L976" s="208"/>
    </row>
    <row r="977" spans="1:12" s="54" customFormat="1" outlineLevel="1" x14ac:dyDescent="0.2">
      <c r="A977" s="93" t="s">
        <v>656</v>
      </c>
      <c r="B977" s="103">
        <v>43080</v>
      </c>
      <c r="C977" s="103">
        <v>43173</v>
      </c>
      <c r="D977" s="194">
        <v>90</v>
      </c>
      <c r="E977" s="14">
        <f>22221.15+3420.94</f>
        <v>25642.09</v>
      </c>
      <c r="F977" s="14">
        <f>10188.16+5862.92</f>
        <v>16051.08</v>
      </c>
      <c r="G977" s="14">
        <v>0</v>
      </c>
      <c r="H977" s="58">
        <f t="shared" si="67"/>
        <v>41693.17</v>
      </c>
      <c r="I977" s="58">
        <f t="shared" si="68"/>
        <v>41693.17</v>
      </c>
      <c r="J977" s="126"/>
      <c r="K977" s="81"/>
      <c r="L977" s="208"/>
    </row>
    <row r="978" spans="1:12" s="54" customFormat="1" ht="24" outlineLevel="1" x14ac:dyDescent="0.2">
      <c r="A978" s="93" t="s">
        <v>657</v>
      </c>
      <c r="B978" s="103">
        <v>42984</v>
      </c>
      <c r="C978" s="103">
        <v>43138</v>
      </c>
      <c r="D978" s="194">
        <v>85</v>
      </c>
      <c r="E978" s="14">
        <v>7102.05</v>
      </c>
      <c r="F978" s="14">
        <f>7315.38+4547.67</f>
        <v>11863.05</v>
      </c>
      <c r="G978" s="14">
        <v>0</v>
      </c>
      <c r="H978" s="58">
        <f t="shared" si="67"/>
        <v>18965.099999999999</v>
      </c>
      <c r="I978" s="58">
        <f t="shared" si="68"/>
        <v>18965.099999999999</v>
      </c>
      <c r="J978" s="126"/>
      <c r="K978" s="81"/>
      <c r="L978" s="208"/>
    </row>
    <row r="979" spans="1:12" s="54" customFormat="1" ht="24" outlineLevel="1" x14ac:dyDescent="0.2">
      <c r="A979" s="93" t="s">
        <v>658</v>
      </c>
      <c r="B979" s="103">
        <v>42984</v>
      </c>
      <c r="C979" s="103">
        <v>43136</v>
      </c>
      <c r="D979" s="194">
        <v>85</v>
      </c>
      <c r="E979" s="14">
        <v>6010.51</v>
      </c>
      <c r="F979" s="14">
        <f>7315.38+3396.13</f>
        <v>10711.51</v>
      </c>
      <c r="G979" s="14">
        <v>0</v>
      </c>
      <c r="H979" s="58">
        <f t="shared" si="67"/>
        <v>16722.02</v>
      </c>
      <c r="I979" s="58">
        <f t="shared" si="68"/>
        <v>16722.02</v>
      </c>
      <c r="J979" s="126"/>
      <c r="K979" s="81"/>
      <c r="L979" s="208"/>
    </row>
    <row r="980" spans="1:12" s="54" customFormat="1" outlineLevel="1" x14ac:dyDescent="0.2">
      <c r="A980" s="93" t="s">
        <v>659</v>
      </c>
      <c r="B980" s="103">
        <v>43063</v>
      </c>
      <c r="C980" s="103">
        <v>43465</v>
      </c>
      <c r="D980" s="194">
        <v>50</v>
      </c>
      <c r="E980" s="14">
        <v>11693.23</v>
      </c>
      <c r="F980" s="14">
        <v>94395.75</v>
      </c>
      <c r="G980" s="14">
        <v>0</v>
      </c>
      <c r="H980" s="58">
        <f t="shared" si="67"/>
        <v>106088.98</v>
      </c>
      <c r="I980" s="58">
        <f t="shared" si="68"/>
        <v>106088.98</v>
      </c>
      <c r="J980" s="126"/>
      <c r="K980" s="81"/>
      <c r="L980" s="208"/>
    </row>
    <row r="981" spans="1:12" s="54" customFormat="1" ht="24" outlineLevel="1" x14ac:dyDescent="0.2">
      <c r="A981" s="93" t="s">
        <v>660</v>
      </c>
      <c r="B981" s="103">
        <v>43067</v>
      </c>
      <c r="C981" s="103">
        <v>43465</v>
      </c>
      <c r="D981" s="194">
        <v>60</v>
      </c>
      <c r="E981" s="14">
        <v>34623.599999999999</v>
      </c>
      <c r="F981" s="14">
        <v>10188.16</v>
      </c>
      <c r="G981" s="14">
        <v>0</v>
      </c>
      <c r="H981" s="58">
        <f t="shared" si="67"/>
        <v>44811.759999999995</v>
      </c>
      <c r="I981" s="58">
        <f t="shared" si="68"/>
        <v>44811.759999999995</v>
      </c>
      <c r="J981" s="126"/>
      <c r="K981" s="81"/>
      <c r="L981" s="208"/>
    </row>
    <row r="982" spans="1:12" s="54" customFormat="1" outlineLevel="1" x14ac:dyDescent="0.2">
      <c r="A982" s="93" t="s">
        <v>661</v>
      </c>
      <c r="B982" s="103"/>
      <c r="C982" s="103">
        <v>43465</v>
      </c>
      <c r="D982" s="194">
        <v>40</v>
      </c>
      <c r="E982" s="14">
        <v>26669.040000000001</v>
      </c>
      <c r="F982" s="14">
        <v>10692.02</v>
      </c>
      <c r="G982" s="14">
        <v>0</v>
      </c>
      <c r="H982" s="58">
        <f t="shared" si="67"/>
        <v>37361.06</v>
      </c>
      <c r="I982" s="58">
        <f t="shared" si="68"/>
        <v>37361.06</v>
      </c>
      <c r="J982" s="126"/>
      <c r="K982" s="81"/>
      <c r="L982" s="208"/>
    </row>
    <row r="983" spans="1:12" s="54" customFormat="1" outlineLevel="1" x14ac:dyDescent="0.2">
      <c r="A983" s="93" t="s">
        <v>662</v>
      </c>
      <c r="B983" s="103">
        <v>43066</v>
      </c>
      <c r="C983" s="103">
        <v>43465</v>
      </c>
      <c r="D983" s="194">
        <v>60</v>
      </c>
      <c r="E983" s="14">
        <v>0</v>
      </c>
      <c r="F983" s="14">
        <v>3305.36</v>
      </c>
      <c r="G983" s="14">
        <v>0</v>
      </c>
      <c r="H983" s="58">
        <f t="shared" si="67"/>
        <v>3305.36</v>
      </c>
      <c r="I983" s="58">
        <f t="shared" si="68"/>
        <v>3305.36</v>
      </c>
      <c r="J983" s="126"/>
      <c r="K983" s="81"/>
      <c r="L983" s="208"/>
    </row>
    <row r="984" spans="1:12" s="54" customFormat="1" ht="24" outlineLevel="1" x14ac:dyDescent="0.2">
      <c r="A984" s="51" t="s">
        <v>1348</v>
      </c>
      <c r="B984" s="103">
        <v>43220</v>
      </c>
      <c r="C984" s="103">
        <v>43465</v>
      </c>
      <c r="D984" s="194">
        <v>40</v>
      </c>
      <c r="E984" s="14">
        <v>11784.94</v>
      </c>
      <c r="F984" s="14">
        <v>25338.61</v>
      </c>
      <c r="G984" s="14"/>
      <c r="H984" s="58">
        <f t="shared" si="67"/>
        <v>37123.550000000003</v>
      </c>
      <c r="I984" s="58">
        <f t="shared" si="68"/>
        <v>37123.550000000003</v>
      </c>
      <c r="J984" s="126"/>
      <c r="K984" s="81"/>
      <c r="L984" s="208"/>
    </row>
    <row r="985" spans="1:12" s="54" customFormat="1" outlineLevel="1" x14ac:dyDescent="0.2">
      <c r="A985" s="93" t="s">
        <v>663</v>
      </c>
      <c r="B985" s="103">
        <v>43005</v>
      </c>
      <c r="C985" s="103">
        <v>43465</v>
      </c>
      <c r="D985" s="194">
        <v>60</v>
      </c>
      <c r="E985" s="14">
        <v>0</v>
      </c>
      <c r="F985" s="14">
        <v>14107.37</v>
      </c>
      <c r="G985" s="14">
        <v>0</v>
      </c>
      <c r="H985" s="58">
        <f t="shared" si="67"/>
        <v>14107.37</v>
      </c>
      <c r="I985" s="58">
        <f t="shared" si="68"/>
        <v>14107.37</v>
      </c>
      <c r="J985" s="126"/>
      <c r="K985" s="81"/>
      <c r="L985" s="208"/>
    </row>
    <row r="986" spans="1:12" s="54" customFormat="1" ht="24" outlineLevel="1" x14ac:dyDescent="0.2">
      <c r="A986" s="22" t="s">
        <v>812</v>
      </c>
      <c r="B986" s="104">
        <v>42766</v>
      </c>
      <c r="C986" s="103">
        <v>43190</v>
      </c>
      <c r="D986" s="194">
        <v>98</v>
      </c>
      <c r="E986" s="14">
        <v>75744</v>
      </c>
      <c r="F986" s="14">
        <v>154546.71</v>
      </c>
      <c r="G986" s="14"/>
      <c r="H986" s="58">
        <f t="shared" si="67"/>
        <v>230290.71</v>
      </c>
      <c r="I986" s="52">
        <f t="shared" si="68"/>
        <v>230290.71</v>
      </c>
      <c r="J986" s="126"/>
      <c r="K986" s="81"/>
      <c r="L986" s="208"/>
    </row>
    <row r="987" spans="1:12" s="54" customFormat="1" outlineLevel="1" x14ac:dyDescent="0.2">
      <c r="A987" s="51" t="s">
        <v>1349</v>
      </c>
      <c r="B987" s="104">
        <v>43251</v>
      </c>
      <c r="C987" s="103">
        <v>43465</v>
      </c>
      <c r="D987" s="194">
        <v>40</v>
      </c>
      <c r="E987" s="14">
        <v>11535.12</v>
      </c>
      <c r="F987" s="14"/>
      <c r="G987" s="14"/>
      <c r="H987" s="58">
        <f t="shared" si="67"/>
        <v>11535.12</v>
      </c>
      <c r="I987" s="52">
        <f t="shared" si="68"/>
        <v>11535.12</v>
      </c>
      <c r="J987" s="126"/>
      <c r="K987" s="81"/>
      <c r="L987" s="208"/>
    </row>
    <row r="988" spans="1:12" s="54" customFormat="1" ht="24" outlineLevel="1" x14ac:dyDescent="0.2">
      <c r="A988" s="93" t="s">
        <v>664</v>
      </c>
      <c r="B988" s="103">
        <v>43020</v>
      </c>
      <c r="C988" s="103">
        <v>43465</v>
      </c>
      <c r="D988" s="194">
        <v>55</v>
      </c>
      <c r="E988" s="14">
        <v>42560.98</v>
      </c>
      <c r="F988" s="14">
        <f>8713.74+1543.97</f>
        <v>10257.709999999999</v>
      </c>
      <c r="G988" s="14">
        <v>0</v>
      </c>
      <c r="H988" s="58">
        <f t="shared" si="67"/>
        <v>52818.69</v>
      </c>
      <c r="I988" s="58">
        <f t="shared" si="68"/>
        <v>52818.69</v>
      </c>
      <c r="J988" s="126"/>
      <c r="K988" s="81"/>
      <c r="L988" s="208"/>
    </row>
    <row r="989" spans="1:12" s="54" customFormat="1" outlineLevel="1" x14ac:dyDescent="0.2">
      <c r="A989" s="93" t="s">
        <v>665</v>
      </c>
      <c r="B989" s="103">
        <v>42975</v>
      </c>
      <c r="C989" s="103">
        <v>43465</v>
      </c>
      <c r="D989" s="194">
        <v>50</v>
      </c>
      <c r="E989" s="14">
        <v>31832.01</v>
      </c>
      <c r="F989" s="14">
        <f>8713.74+1543.97</f>
        <v>10257.709999999999</v>
      </c>
      <c r="G989" s="14">
        <v>0</v>
      </c>
      <c r="H989" s="58">
        <f t="shared" si="67"/>
        <v>42089.72</v>
      </c>
      <c r="I989" s="58">
        <f t="shared" si="68"/>
        <v>42089.72</v>
      </c>
      <c r="J989" s="126"/>
      <c r="K989" s="81"/>
      <c r="L989" s="208"/>
    </row>
    <row r="990" spans="1:12" s="54" customFormat="1" ht="24" outlineLevel="1" x14ac:dyDescent="0.2">
      <c r="A990" s="93" t="s">
        <v>666</v>
      </c>
      <c r="B990" s="103">
        <v>43130</v>
      </c>
      <c r="C990" s="103">
        <v>43465</v>
      </c>
      <c r="D990" s="194">
        <v>40</v>
      </c>
      <c r="E990" s="14">
        <v>8479.58</v>
      </c>
      <c r="F990" s="14">
        <f>3305.36+32216.45</f>
        <v>35521.81</v>
      </c>
      <c r="G990" s="14">
        <v>0</v>
      </c>
      <c r="H990" s="58">
        <f t="shared" si="67"/>
        <v>44001.39</v>
      </c>
      <c r="I990" s="58">
        <f t="shared" si="68"/>
        <v>44001.39</v>
      </c>
      <c r="J990" s="126"/>
      <c r="K990" s="81"/>
      <c r="L990" s="208"/>
    </row>
    <row r="991" spans="1:12" s="54" customFormat="1" ht="24" outlineLevel="1" x14ac:dyDescent="0.2">
      <c r="A991" s="93" t="s">
        <v>667</v>
      </c>
      <c r="B991" s="103">
        <v>42993</v>
      </c>
      <c r="C991" s="103">
        <v>43088</v>
      </c>
      <c r="D991" s="194">
        <v>90</v>
      </c>
      <c r="E991" s="14">
        <v>228600</v>
      </c>
      <c r="F991" s="14">
        <v>160603</v>
      </c>
      <c r="G991" s="14">
        <v>0</v>
      </c>
      <c r="H991" s="58">
        <f t="shared" si="67"/>
        <v>389203</v>
      </c>
      <c r="I991" s="58">
        <f t="shared" si="68"/>
        <v>389203</v>
      </c>
      <c r="J991" s="126"/>
      <c r="K991" s="81"/>
      <c r="L991" s="208"/>
    </row>
    <row r="992" spans="1:12" s="54" customFormat="1" ht="24" outlineLevel="1" x14ac:dyDescent="0.2">
      <c r="A992" s="51" t="s">
        <v>1350</v>
      </c>
      <c r="B992" s="103">
        <v>43251</v>
      </c>
      <c r="C992" s="103">
        <v>43465</v>
      </c>
      <c r="D992" s="194">
        <v>40</v>
      </c>
      <c r="E992" s="14">
        <v>17228.71</v>
      </c>
      <c r="F992" s="14"/>
      <c r="G992" s="14"/>
      <c r="H992" s="58">
        <f t="shared" si="67"/>
        <v>17228.71</v>
      </c>
      <c r="I992" s="58">
        <f t="shared" si="68"/>
        <v>17228.71</v>
      </c>
      <c r="J992" s="126"/>
      <c r="K992" s="81"/>
      <c r="L992" s="208"/>
    </row>
    <row r="993" spans="1:12" s="54" customFormat="1" ht="24" outlineLevel="1" x14ac:dyDescent="0.2">
      <c r="A993" s="22" t="s">
        <v>668</v>
      </c>
      <c r="B993" s="104">
        <v>42850</v>
      </c>
      <c r="C993" s="103">
        <v>43190</v>
      </c>
      <c r="D993" s="194">
        <v>98</v>
      </c>
      <c r="E993" s="14">
        <v>16094.32</v>
      </c>
      <c r="F993" s="14"/>
      <c r="G993" s="14"/>
      <c r="H993" s="58">
        <f t="shared" si="67"/>
        <v>16094.32</v>
      </c>
      <c r="I993" s="52">
        <f t="shared" si="68"/>
        <v>16094.32</v>
      </c>
      <c r="J993" s="126"/>
      <c r="K993" s="81"/>
      <c r="L993" s="208"/>
    </row>
    <row r="994" spans="1:12" s="54" customFormat="1" outlineLevel="1" x14ac:dyDescent="0.2">
      <c r="A994" s="93" t="s">
        <v>669</v>
      </c>
      <c r="B994" s="103">
        <v>43063</v>
      </c>
      <c r="C994" s="103">
        <v>43465</v>
      </c>
      <c r="D994" s="194">
        <v>60</v>
      </c>
      <c r="E994" s="14">
        <v>0</v>
      </c>
      <c r="F994" s="14">
        <v>8792.09</v>
      </c>
      <c r="G994" s="14">
        <v>0</v>
      </c>
      <c r="H994" s="58">
        <f t="shared" si="67"/>
        <v>8792.09</v>
      </c>
      <c r="I994" s="58">
        <f t="shared" si="68"/>
        <v>8792.09</v>
      </c>
      <c r="J994" s="126"/>
      <c r="K994" s="81"/>
      <c r="L994" s="208"/>
    </row>
    <row r="995" spans="1:12" s="54" customFormat="1" ht="24" outlineLevel="1" x14ac:dyDescent="0.2">
      <c r="A995" s="93" t="s">
        <v>670</v>
      </c>
      <c r="B995" s="103">
        <v>42990</v>
      </c>
      <c r="C995" s="103">
        <v>43132</v>
      </c>
      <c r="D995" s="194">
        <v>90</v>
      </c>
      <c r="E995" s="14">
        <v>19346.759999999998</v>
      </c>
      <c r="F995" s="14">
        <v>6573.06</v>
      </c>
      <c r="G995" s="14">
        <v>0</v>
      </c>
      <c r="H995" s="58">
        <f t="shared" si="67"/>
        <v>25919.82</v>
      </c>
      <c r="I995" s="58">
        <f t="shared" si="68"/>
        <v>25919.82</v>
      </c>
      <c r="J995" s="126"/>
      <c r="K995" s="81"/>
      <c r="L995" s="208"/>
    </row>
    <row r="996" spans="1:12" s="54" customFormat="1" ht="24" outlineLevel="1" x14ac:dyDescent="0.2">
      <c r="A996" s="93" t="s">
        <v>671</v>
      </c>
      <c r="B996" s="103">
        <v>43161</v>
      </c>
      <c r="C996" s="103">
        <v>43465</v>
      </c>
      <c r="D996" s="194">
        <v>40</v>
      </c>
      <c r="E996" s="14">
        <v>3305.36</v>
      </c>
      <c r="F996" s="14">
        <f>7809.05+35425.39</f>
        <v>43234.44</v>
      </c>
      <c r="G996" s="14">
        <v>0</v>
      </c>
      <c r="H996" s="58">
        <f t="shared" si="67"/>
        <v>46539.8</v>
      </c>
      <c r="I996" s="58">
        <f t="shared" si="68"/>
        <v>46539.8</v>
      </c>
      <c r="J996" s="126"/>
      <c r="K996" s="81"/>
      <c r="L996" s="208"/>
    </row>
    <row r="997" spans="1:12" s="54" customFormat="1" outlineLevel="1" x14ac:dyDescent="0.2">
      <c r="A997" s="51" t="s">
        <v>1349</v>
      </c>
      <c r="B997" s="103">
        <v>43281</v>
      </c>
      <c r="C997" s="103">
        <v>43465</v>
      </c>
      <c r="D997" s="194">
        <v>40</v>
      </c>
      <c r="E997" s="14">
        <v>11653.7</v>
      </c>
      <c r="F997" s="14"/>
      <c r="G997" s="14"/>
      <c r="H997" s="58">
        <f t="shared" si="67"/>
        <v>11653.7</v>
      </c>
      <c r="I997" s="58">
        <f t="shared" si="68"/>
        <v>11653.7</v>
      </c>
      <c r="J997" s="126"/>
      <c r="K997" s="81"/>
      <c r="L997" s="208"/>
    </row>
    <row r="998" spans="1:12" s="54" customFormat="1" ht="24" outlineLevel="1" x14ac:dyDescent="0.2">
      <c r="A998" s="93" t="s">
        <v>672</v>
      </c>
      <c r="B998" s="103">
        <v>43159</v>
      </c>
      <c r="C998" s="103">
        <v>43465</v>
      </c>
      <c r="D998" s="194">
        <v>40</v>
      </c>
      <c r="E998" s="14">
        <f>31747.6+8833.33</f>
        <v>40580.93</v>
      </c>
      <c r="F998" s="14">
        <f>8402.62+1543.97</f>
        <v>9946.59</v>
      </c>
      <c r="G998" s="14">
        <v>0</v>
      </c>
      <c r="H998" s="58">
        <f t="shared" si="67"/>
        <v>50527.520000000004</v>
      </c>
      <c r="I998" s="58">
        <f t="shared" si="68"/>
        <v>50527.520000000004</v>
      </c>
      <c r="J998" s="126"/>
      <c r="K998" s="81"/>
      <c r="L998" s="208"/>
    </row>
    <row r="999" spans="1:12" s="54" customFormat="1" outlineLevel="1" x14ac:dyDescent="0.2">
      <c r="A999" s="51" t="s">
        <v>1351</v>
      </c>
      <c r="B999" s="103">
        <v>43281</v>
      </c>
      <c r="C999" s="103">
        <v>43465</v>
      </c>
      <c r="D999" s="194">
        <v>40</v>
      </c>
      <c r="E999" s="14">
        <v>4153.16</v>
      </c>
      <c r="F999" s="14"/>
      <c r="G999" s="14"/>
      <c r="H999" s="58">
        <f t="shared" si="67"/>
        <v>4153.16</v>
      </c>
      <c r="I999" s="58">
        <f t="shared" si="68"/>
        <v>4153.16</v>
      </c>
      <c r="J999" s="126"/>
      <c r="K999" s="81"/>
      <c r="L999" s="208"/>
    </row>
    <row r="1000" spans="1:12" s="54" customFormat="1" ht="24" outlineLevel="1" x14ac:dyDescent="0.2">
      <c r="A1000" s="93" t="s">
        <v>673</v>
      </c>
      <c r="B1000" s="103">
        <v>43005</v>
      </c>
      <c r="C1000" s="103">
        <v>43465</v>
      </c>
      <c r="D1000" s="194">
        <v>60</v>
      </c>
      <c r="E1000" s="14">
        <v>10016.77</v>
      </c>
      <c r="F1000" s="14">
        <v>89853.34</v>
      </c>
      <c r="G1000" s="14">
        <v>0</v>
      </c>
      <c r="H1000" s="58">
        <f t="shared" si="67"/>
        <v>99870.11</v>
      </c>
      <c r="I1000" s="58">
        <f t="shared" si="68"/>
        <v>99870.11</v>
      </c>
      <c r="J1000" s="126"/>
      <c r="K1000" s="81"/>
      <c r="L1000" s="208"/>
    </row>
    <row r="1001" spans="1:12" s="54" customFormat="1" outlineLevel="1" x14ac:dyDescent="0.2">
      <c r="A1001" s="51" t="s">
        <v>1352</v>
      </c>
      <c r="B1001" s="103">
        <v>43220</v>
      </c>
      <c r="C1001" s="103">
        <v>43465</v>
      </c>
      <c r="D1001" s="194">
        <v>40</v>
      </c>
      <c r="E1001" s="14">
        <v>11821.09</v>
      </c>
      <c r="F1001" s="14"/>
      <c r="G1001" s="14"/>
      <c r="H1001" s="58">
        <f t="shared" si="67"/>
        <v>11821.09</v>
      </c>
      <c r="I1001" s="58">
        <f t="shared" si="68"/>
        <v>11821.09</v>
      </c>
      <c r="J1001" s="126"/>
      <c r="K1001" s="81"/>
      <c r="L1001" s="208"/>
    </row>
    <row r="1002" spans="1:12" s="54" customFormat="1" outlineLevel="1" x14ac:dyDescent="0.2">
      <c r="A1002" s="51" t="s">
        <v>1353</v>
      </c>
      <c r="B1002" s="103">
        <v>43220</v>
      </c>
      <c r="C1002" s="103">
        <v>43465</v>
      </c>
      <c r="D1002" s="194">
        <v>40</v>
      </c>
      <c r="E1002" s="14">
        <v>11033.07</v>
      </c>
      <c r="F1002" s="14"/>
      <c r="G1002" s="14"/>
      <c r="H1002" s="58">
        <f t="shared" si="67"/>
        <v>11033.07</v>
      </c>
      <c r="I1002" s="58">
        <f t="shared" si="68"/>
        <v>11033.07</v>
      </c>
      <c r="J1002" s="126"/>
      <c r="K1002" s="81"/>
      <c r="L1002" s="208"/>
    </row>
    <row r="1003" spans="1:12" s="54" customFormat="1" outlineLevel="1" x14ac:dyDescent="0.2">
      <c r="A1003" s="93" t="s">
        <v>674</v>
      </c>
      <c r="B1003" s="103">
        <v>43046</v>
      </c>
      <c r="C1003" s="103">
        <v>43465</v>
      </c>
      <c r="D1003" s="194">
        <v>60</v>
      </c>
      <c r="E1003" s="14">
        <v>30140.01</v>
      </c>
      <c r="F1003" s="14">
        <v>9134.8799999999992</v>
      </c>
      <c r="G1003" s="14">
        <v>0</v>
      </c>
      <c r="H1003" s="58">
        <f t="shared" si="67"/>
        <v>39274.89</v>
      </c>
      <c r="I1003" s="58">
        <f t="shared" si="68"/>
        <v>39274.89</v>
      </c>
      <c r="J1003" s="126"/>
      <c r="K1003" s="81"/>
      <c r="L1003" s="208"/>
    </row>
    <row r="1004" spans="1:12" s="54" customFormat="1" ht="24" outlineLevel="1" x14ac:dyDescent="0.2">
      <c r="A1004" s="93" t="s">
        <v>675</v>
      </c>
      <c r="B1004" s="103">
        <v>43069</v>
      </c>
      <c r="C1004" s="103">
        <v>43465</v>
      </c>
      <c r="D1004" s="194">
        <v>20</v>
      </c>
      <c r="E1004" s="14">
        <v>0</v>
      </c>
      <c r="F1004" s="14">
        <v>11779.5</v>
      </c>
      <c r="G1004" s="14">
        <v>0</v>
      </c>
      <c r="H1004" s="58">
        <f t="shared" si="67"/>
        <v>11779.5</v>
      </c>
      <c r="I1004" s="58">
        <f t="shared" si="68"/>
        <v>11779.5</v>
      </c>
      <c r="J1004" s="126"/>
      <c r="K1004" s="81"/>
      <c r="L1004" s="208"/>
    </row>
    <row r="1005" spans="1:12" s="54" customFormat="1" outlineLevel="1" x14ac:dyDescent="0.2">
      <c r="A1005" s="93" t="s">
        <v>676</v>
      </c>
      <c r="B1005" s="103">
        <v>43074</v>
      </c>
      <c r="C1005" s="103">
        <v>43465</v>
      </c>
      <c r="D1005" s="194">
        <v>40</v>
      </c>
      <c r="E1005" s="14">
        <v>0</v>
      </c>
      <c r="F1005" s="14">
        <v>3305.36</v>
      </c>
      <c r="G1005" s="14">
        <v>0</v>
      </c>
      <c r="H1005" s="58">
        <f t="shared" si="67"/>
        <v>3305.36</v>
      </c>
      <c r="I1005" s="58">
        <f t="shared" si="68"/>
        <v>3305.36</v>
      </c>
      <c r="J1005" s="126"/>
      <c r="K1005" s="81"/>
      <c r="L1005" s="208"/>
    </row>
    <row r="1006" spans="1:12" s="54" customFormat="1" ht="24" outlineLevel="1" x14ac:dyDescent="0.2">
      <c r="A1006" s="51" t="s">
        <v>1354</v>
      </c>
      <c r="B1006" s="103">
        <v>43251</v>
      </c>
      <c r="C1006" s="103">
        <v>43465</v>
      </c>
      <c r="D1006" s="194">
        <v>40</v>
      </c>
      <c r="E1006" s="14">
        <v>7737.7</v>
      </c>
      <c r="F1006" s="14">
        <v>38216.089999999997</v>
      </c>
      <c r="G1006" s="14"/>
      <c r="H1006" s="58">
        <f t="shared" si="67"/>
        <v>45953.789999999994</v>
      </c>
      <c r="I1006" s="58">
        <f t="shared" si="68"/>
        <v>45953.789999999994</v>
      </c>
      <c r="J1006" s="126"/>
      <c r="K1006" s="81"/>
      <c r="L1006" s="208"/>
    </row>
    <row r="1007" spans="1:12" s="54" customFormat="1" ht="24" outlineLevel="1" x14ac:dyDescent="0.2">
      <c r="A1007" s="93" t="s">
        <v>677</v>
      </c>
      <c r="B1007" s="103">
        <v>42961</v>
      </c>
      <c r="C1007" s="103">
        <v>43465</v>
      </c>
      <c r="D1007" s="194">
        <v>30</v>
      </c>
      <c r="E1007" s="14">
        <v>0</v>
      </c>
      <c r="F1007" s="14">
        <v>17506.68</v>
      </c>
      <c r="G1007" s="14">
        <v>0</v>
      </c>
      <c r="H1007" s="58">
        <f t="shared" si="67"/>
        <v>17506.68</v>
      </c>
      <c r="I1007" s="58">
        <f t="shared" si="68"/>
        <v>17506.68</v>
      </c>
      <c r="J1007" s="126"/>
      <c r="K1007" s="81"/>
      <c r="L1007" s="208"/>
    </row>
    <row r="1008" spans="1:12" s="54" customFormat="1" ht="24" outlineLevel="1" x14ac:dyDescent="0.2">
      <c r="A1008" s="22" t="s">
        <v>813</v>
      </c>
      <c r="B1008" s="104">
        <v>42607</v>
      </c>
      <c r="C1008" s="103">
        <v>43190</v>
      </c>
      <c r="D1008" s="194">
        <v>98</v>
      </c>
      <c r="E1008" s="14">
        <v>8015</v>
      </c>
      <c r="F1008" s="14"/>
      <c r="G1008" s="14"/>
      <c r="H1008" s="58">
        <f t="shared" si="67"/>
        <v>8015</v>
      </c>
      <c r="I1008" s="52">
        <f t="shared" si="68"/>
        <v>8015</v>
      </c>
      <c r="J1008" s="126"/>
      <c r="K1008" s="81"/>
      <c r="L1008" s="208"/>
    </row>
    <row r="1009" spans="1:12" s="54" customFormat="1" ht="24" outlineLevel="1" x14ac:dyDescent="0.2">
      <c r="A1009" s="93" t="s">
        <v>678</v>
      </c>
      <c r="B1009" s="103">
        <v>42850</v>
      </c>
      <c r="C1009" s="103">
        <v>43465</v>
      </c>
      <c r="D1009" s="194">
        <v>30</v>
      </c>
      <c r="E1009" s="14">
        <v>0</v>
      </c>
      <c r="F1009" s="14">
        <v>15665.96</v>
      </c>
      <c r="G1009" s="14">
        <v>0</v>
      </c>
      <c r="H1009" s="58">
        <f t="shared" si="67"/>
        <v>15665.96</v>
      </c>
      <c r="I1009" s="58">
        <f t="shared" si="68"/>
        <v>15665.96</v>
      </c>
      <c r="J1009" s="126"/>
      <c r="K1009" s="81"/>
      <c r="L1009" s="208"/>
    </row>
    <row r="1010" spans="1:12" s="54" customFormat="1" ht="24" outlineLevel="1" x14ac:dyDescent="0.2">
      <c r="A1010" s="93" t="s">
        <v>679</v>
      </c>
      <c r="B1010" s="103">
        <v>42762</v>
      </c>
      <c r="C1010" s="103">
        <v>43465</v>
      </c>
      <c r="D1010" s="194">
        <v>30</v>
      </c>
      <c r="E1010" s="14">
        <v>0</v>
      </c>
      <c r="F1010" s="14">
        <v>7150.78</v>
      </c>
      <c r="G1010" s="14">
        <v>0</v>
      </c>
      <c r="H1010" s="58">
        <f t="shared" si="67"/>
        <v>7150.78</v>
      </c>
      <c r="I1010" s="58">
        <f t="shared" si="68"/>
        <v>7150.78</v>
      </c>
      <c r="J1010" s="126"/>
      <c r="K1010" s="81"/>
      <c r="L1010" s="208"/>
    </row>
    <row r="1011" spans="1:12" s="54" customFormat="1" ht="24" outlineLevel="1" x14ac:dyDescent="0.2">
      <c r="A1011" s="93" t="s">
        <v>680</v>
      </c>
      <c r="B1011" s="103">
        <v>43066</v>
      </c>
      <c r="C1011" s="103">
        <v>43139</v>
      </c>
      <c r="D1011" s="194">
        <v>90</v>
      </c>
      <c r="E1011" s="14">
        <f>23081.96+3420.94</f>
        <v>26502.899999999998</v>
      </c>
      <c r="F1011" s="14">
        <f>9134.88+7062.83</f>
        <v>16197.71</v>
      </c>
      <c r="G1011" s="14">
        <v>0</v>
      </c>
      <c r="H1011" s="58">
        <f t="shared" si="67"/>
        <v>42700.61</v>
      </c>
      <c r="I1011" s="58">
        <f t="shared" si="68"/>
        <v>42700.61</v>
      </c>
      <c r="J1011" s="126"/>
      <c r="K1011" s="81"/>
      <c r="L1011" s="208"/>
    </row>
    <row r="1012" spans="1:12" s="54" customFormat="1" outlineLevel="1" x14ac:dyDescent="0.2">
      <c r="A1012" s="93" t="s">
        <v>681</v>
      </c>
      <c r="B1012" s="103">
        <v>43083</v>
      </c>
      <c r="C1012" s="103">
        <v>43465</v>
      </c>
      <c r="D1012" s="194">
        <v>50</v>
      </c>
      <c r="E1012" s="14">
        <v>14021.44</v>
      </c>
      <c r="F1012" s="14">
        <v>107662.49</v>
      </c>
      <c r="G1012" s="14">
        <v>0</v>
      </c>
      <c r="H1012" s="58">
        <f t="shared" si="67"/>
        <v>121683.93000000001</v>
      </c>
      <c r="I1012" s="58">
        <f t="shared" si="68"/>
        <v>121683.93000000001</v>
      </c>
      <c r="J1012" s="126"/>
      <c r="K1012" s="81"/>
      <c r="L1012" s="208"/>
    </row>
    <row r="1013" spans="1:12" s="54" customFormat="1" ht="24" outlineLevel="1" x14ac:dyDescent="0.2">
      <c r="A1013" s="93" t="s">
        <v>682</v>
      </c>
      <c r="B1013" s="103">
        <v>42782</v>
      </c>
      <c r="C1013" s="103">
        <v>43465</v>
      </c>
      <c r="D1013" s="194">
        <v>80</v>
      </c>
      <c r="E1013" s="14">
        <v>515782.2</v>
      </c>
      <c r="F1013" s="14">
        <v>64377.5</v>
      </c>
      <c r="G1013" s="14">
        <v>0</v>
      </c>
      <c r="H1013" s="58">
        <f t="shared" si="67"/>
        <v>580159.69999999995</v>
      </c>
      <c r="I1013" s="58">
        <f t="shared" si="68"/>
        <v>580159.69999999995</v>
      </c>
      <c r="J1013" s="126"/>
      <c r="K1013" s="81"/>
      <c r="L1013" s="208"/>
    </row>
    <row r="1014" spans="1:12" s="54" customFormat="1" outlineLevel="1" x14ac:dyDescent="0.2">
      <c r="A1014" s="51" t="s">
        <v>1355</v>
      </c>
      <c r="B1014" s="103">
        <v>43281</v>
      </c>
      <c r="C1014" s="103">
        <v>43465</v>
      </c>
      <c r="D1014" s="194">
        <v>40</v>
      </c>
      <c r="E1014" s="14">
        <v>2768.79</v>
      </c>
      <c r="F1014" s="14"/>
      <c r="G1014" s="14"/>
      <c r="H1014" s="58">
        <f t="shared" si="67"/>
        <v>2768.79</v>
      </c>
      <c r="I1014" s="58">
        <f t="shared" si="68"/>
        <v>2768.79</v>
      </c>
      <c r="J1014" s="126"/>
      <c r="K1014" s="81"/>
      <c r="L1014" s="208"/>
    </row>
    <row r="1015" spans="1:12" s="54" customFormat="1" outlineLevel="1" x14ac:dyDescent="0.2">
      <c r="A1015" s="93" t="s">
        <v>683</v>
      </c>
      <c r="B1015" s="103">
        <v>43006</v>
      </c>
      <c r="C1015" s="103">
        <v>43465</v>
      </c>
      <c r="D1015" s="194">
        <v>50</v>
      </c>
      <c r="E1015" s="14">
        <v>1849.01</v>
      </c>
      <c r="F1015" s="14">
        <v>6922.98</v>
      </c>
      <c r="G1015" s="14">
        <v>0</v>
      </c>
      <c r="H1015" s="58">
        <f t="shared" si="67"/>
        <v>8771.99</v>
      </c>
      <c r="I1015" s="58">
        <f t="shared" si="68"/>
        <v>8771.99</v>
      </c>
      <c r="J1015" s="126"/>
      <c r="K1015" s="81"/>
      <c r="L1015" s="208"/>
    </row>
    <row r="1016" spans="1:12" s="54" customFormat="1" ht="24" outlineLevel="1" x14ac:dyDescent="0.2">
      <c r="A1016" s="51" t="s">
        <v>1356</v>
      </c>
      <c r="B1016" s="103">
        <v>43281</v>
      </c>
      <c r="C1016" s="103">
        <v>43465</v>
      </c>
      <c r="D1016" s="194">
        <v>40</v>
      </c>
      <c r="E1016" s="14">
        <v>8907.67</v>
      </c>
      <c r="F1016" s="14">
        <v>23998.639999999999</v>
      </c>
      <c r="G1016" s="14"/>
      <c r="H1016" s="58">
        <f t="shared" si="67"/>
        <v>32906.31</v>
      </c>
      <c r="I1016" s="58">
        <f t="shared" si="68"/>
        <v>32906.31</v>
      </c>
      <c r="J1016" s="126"/>
      <c r="K1016" s="81"/>
      <c r="L1016" s="208"/>
    </row>
    <row r="1017" spans="1:12" s="54" customFormat="1" ht="24" outlineLevel="1" x14ac:dyDescent="0.2">
      <c r="A1017" s="51" t="s">
        <v>1357</v>
      </c>
      <c r="B1017" s="103">
        <v>43281</v>
      </c>
      <c r="C1017" s="103">
        <v>43465</v>
      </c>
      <c r="D1017" s="194">
        <v>40</v>
      </c>
      <c r="E1017" s="14">
        <v>8907.67</v>
      </c>
      <c r="F1017" s="14">
        <v>23998.63</v>
      </c>
      <c r="G1017" s="14"/>
      <c r="H1017" s="58">
        <f t="shared" si="67"/>
        <v>32906.300000000003</v>
      </c>
      <c r="I1017" s="58">
        <f t="shared" si="68"/>
        <v>32906.300000000003</v>
      </c>
      <c r="J1017" s="126"/>
      <c r="K1017" s="81"/>
      <c r="L1017" s="208"/>
    </row>
    <row r="1018" spans="1:12" s="54" customFormat="1" ht="24" outlineLevel="1" x14ac:dyDescent="0.2">
      <c r="A1018" s="93" t="s">
        <v>684</v>
      </c>
      <c r="B1018" s="103">
        <v>43070</v>
      </c>
      <c r="C1018" s="103">
        <v>43465</v>
      </c>
      <c r="D1018" s="194">
        <v>40</v>
      </c>
      <c r="E1018" s="14">
        <v>0</v>
      </c>
      <c r="F1018" s="14">
        <v>11172.4</v>
      </c>
      <c r="G1018" s="14">
        <v>0</v>
      </c>
      <c r="H1018" s="58">
        <f t="shared" si="67"/>
        <v>11172.4</v>
      </c>
      <c r="I1018" s="58">
        <f t="shared" si="68"/>
        <v>11172.4</v>
      </c>
      <c r="J1018" s="126"/>
      <c r="K1018" s="81"/>
      <c r="L1018" s="208"/>
    </row>
    <row r="1019" spans="1:12" s="54" customFormat="1" ht="24" outlineLevel="1" x14ac:dyDescent="0.2">
      <c r="A1019" s="51" t="s">
        <v>1358</v>
      </c>
      <c r="B1019" s="103">
        <v>43281</v>
      </c>
      <c r="C1019" s="103">
        <v>43465</v>
      </c>
      <c r="D1019" s="194">
        <v>40</v>
      </c>
      <c r="E1019" s="14"/>
      <c r="F1019" s="14">
        <v>39941.46</v>
      </c>
      <c r="G1019" s="14"/>
      <c r="H1019" s="58">
        <f t="shared" ref="H1019:H1082" si="69">E1019+F1019+G1019</f>
        <v>39941.46</v>
      </c>
      <c r="I1019" s="58">
        <f t="shared" si="68"/>
        <v>39941.46</v>
      </c>
      <c r="J1019" s="126"/>
      <c r="K1019" s="81"/>
      <c r="L1019" s="208"/>
    </row>
    <row r="1020" spans="1:12" s="54" customFormat="1" ht="24" outlineLevel="1" x14ac:dyDescent="0.2">
      <c r="A1020" s="51" t="s">
        <v>1359</v>
      </c>
      <c r="B1020" s="103">
        <v>43281</v>
      </c>
      <c r="C1020" s="103">
        <v>43465</v>
      </c>
      <c r="D1020" s="194">
        <v>40</v>
      </c>
      <c r="E1020" s="14">
        <v>13106.71</v>
      </c>
      <c r="F1020" s="14"/>
      <c r="G1020" s="14"/>
      <c r="H1020" s="58">
        <f t="shared" si="69"/>
        <v>13106.71</v>
      </c>
      <c r="I1020" s="58">
        <f t="shared" si="68"/>
        <v>13106.71</v>
      </c>
      <c r="J1020" s="126"/>
      <c r="K1020" s="81"/>
      <c r="L1020" s="208"/>
    </row>
    <row r="1021" spans="1:12" s="54" customFormat="1" ht="24" outlineLevel="1" x14ac:dyDescent="0.2">
      <c r="A1021" s="51" t="s">
        <v>1360</v>
      </c>
      <c r="B1021" s="103">
        <v>43281</v>
      </c>
      <c r="C1021" s="103">
        <v>43465</v>
      </c>
      <c r="D1021" s="194">
        <v>40</v>
      </c>
      <c r="E1021" s="14">
        <v>11676.46</v>
      </c>
      <c r="F1021" s="14">
        <v>24935.3</v>
      </c>
      <c r="G1021" s="14"/>
      <c r="H1021" s="58">
        <f t="shared" si="69"/>
        <v>36611.759999999995</v>
      </c>
      <c r="I1021" s="58">
        <f t="shared" si="68"/>
        <v>36611.759999999995</v>
      </c>
      <c r="J1021" s="126"/>
      <c r="K1021" s="81"/>
      <c r="L1021" s="208"/>
    </row>
    <row r="1022" spans="1:12" s="54" customFormat="1" ht="24" outlineLevel="1" x14ac:dyDescent="0.2">
      <c r="A1022" s="51" t="s">
        <v>685</v>
      </c>
      <c r="B1022" s="103">
        <v>43084</v>
      </c>
      <c r="C1022" s="103">
        <v>43465</v>
      </c>
      <c r="D1022" s="194">
        <v>40</v>
      </c>
      <c r="E1022" s="14">
        <v>1550.46</v>
      </c>
      <c r="F1022" s="14"/>
      <c r="G1022" s="14"/>
      <c r="H1022" s="58">
        <f t="shared" si="69"/>
        <v>1550.46</v>
      </c>
      <c r="I1022" s="58">
        <f t="shared" si="68"/>
        <v>1550.46</v>
      </c>
      <c r="J1022" s="126"/>
      <c r="K1022" s="81"/>
      <c r="L1022" s="208"/>
    </row>
    <row r="1023" spans="1:12" s="54" customFormat="1" ht="24" outlineLevel="1" x14ac:dyDescent="0.2">
      <c r="A1023" s="93" t="s">
        <v>686</v>
      </c>
      <c r="B1023" s="103">
        <v>42962</v>
      </c>
      <c r="C1023" s="103">
        <v>43465</v>
      </c>
      <c r="D1023" s="194">
        <v>20</v>
      </c>
      <c r="E1023" s="14">
        <v>40885.879999999997</v>
      </c>
      <c r="F1023" s="14">
        <f>7054.2+1574.13</f>
        <v>8628.33</v>
      </c>
      <c r="G1023" s="14">
        <v>0</v>
      </c>
      <c r="H1023" s="58">
        <f t="shared" si="69"/>
        <v>49514.21</v>
      </c>
      <c r="I1023" s="58">
        <f t="shared" si="68"/>
        <v>49514.21</v>
      </c>
      <c r="J1023" s="126"/>
      <c r="K1023" s="81"/>
      <c r="L1023" s="208"/>
    </row>
    <row r="1024" spans="1:12" s="54" customFormat="1" ht="24" outlineLevel="1" x14ac:dyDescent="0.2">
      <c r="A1024" s="93" t="s">
        <v>687</v>
      </c>
      <c r="B1024" s="103">
        <v>42977</v>
      </c>
      <c r="C1024" s="103">
        <v>43465</v>
      </c>
      <c r="D1024" s="194">
        <v>30</v>
      </c>
      <c r="E1024" s="14">
        <v>113874.5</v>
      </c>
      <c r="F1024" s="14">
        <f>9287.1+1543.97</f>
        <v>10831.07</v>
      </c>
      <c r="G1024" s="14">
        <v>0</v>
      </c>
      <c r="H1024" s="58">
        <f t="shared" si="69"/>
        <v>124705.57</v>
      </c>
      <c r="I1024" s="58">
        <f t="shared" si="68"/>
        <v>124705.57</v>
      </c>
      <c r="J1024" s="126"/>
      <c r="K1024" s="81"/>
      <c r="L1024" s="208"/>
    </row>
    <row r="1025" spans="1:12" s="54" customFormat="1" ht="24" outlineLevel="1" x14ac:dyDescent="0.2">
      <c r="A1025" s="51" t="s">
        <v>1361</v>
      </c>
      <c r="B1025" s="103">
        <v>43251</v>
      </c>
      <c r="C1025" s="103">
        <v>43465</v>
      </c>
      <c r="D1025" s="194">
        <v>40</v>
      </c>
      <c r="E1025" s="14">
        <v>8187.4</v>
      </c>
      <c r="F1025" s="14">
        <v>24638.66</v>
      </c>
      <c r="G1025" s="14"/>
      <c r="H1025" s="58">
        <f t="shared" si="69"/>
        <v>32826.06</v>
      </c>
      <c r="I1025" s="58">
        <f t="shared" si="68"/>
        <v>32826.06</v>
      </c>
      <c r="J1025" s="126"/>
      <c r="K1025" s="81"/>
      <c r="L1025" s="208"/>
    </row>
    <row r="1026" spans="1:12" s="54" customFormat="1" outlineLevel="1" x14ac:dyDescent="0.2">
      <c r="A1026" s="93" t="s">
        <v>688</v>
      </c>
      <c r="B1026" s="103">
        <v>42999</v>
      </c>
      <c r="C1026" s="103">
        <v>43465</v>
      </c>
      <c r="D1026" s="194">
        <v>30</v>
      </c>
      <c r="E1026" s="14">
        <v>38389.94</v>
      </c>
      <c r="F1026" s="14">
        <v>6728.07</v>
      </c>
      <c r="G1026" s="14">
        <v>0</v>
      </c>
      <c r="H1026" s="58">
        <f t="shared" si="69"/>
        <v>45118.01</v>
      </c>
      <c r="I1026" s="58">
        <f t="shared" si="68"/>
        <v>45118.01</v>
      </c>
      <c r="J1026" s="126"/>
      <c r="K1026" s="81"/>
      <c r="L1026" s="208"/>
    </row>
    <row r="1027" spans="1:12" s="54" customFormat="1" outlineLevel="1" x14ac:dyDescent="0.2">
      <c r="A1027" s="93" t="s">
        <v>689</v>
      </c>
      <c r="B1027" s="103">
        <v>43046</v>
      </c>
      <c r="C1027" s="103">
        <v>43465</v>
      </c>
      <c r="D1027" s="194">
        <v>30</v>
      </c>
      <c r="E1027" s="14">
        <v>10953.16</v>
      </c>
      <c r="F1027" s="14">
        <v>33353.160000000003</v>
      </c>
      <c r="G1027" s="14">
        <v>0</v>
      </c>
      <c r="H1027" s="58">
        <f t="shared" si="69"/>
        <v>44306.320000000007</v>
      </c>
      <c r="I1027" s="58">
        <f t="shared" si="68"/>
        <v>44306.320000000007</v>
      </c>
      <c r="J1027" s="126"/>
      <c r="K1027" s="81"/>
      <c r="L1027" s="208"/>
    </row>
    <row r="1028" spans="1:12" s="54" customFormat="1" ht="24" outlineLevel="1" x14ac:dyDescent="0.2">
      <c r="A1028" s="51" t="s">
        <v>1362</v>
      </c>
      <c r="B1028" s="103">
        <v>43281</v>
      </c>
      <c r="C1028" s="103">
        <v>43465</v>
      </c>
      <c r="D1028" s="194">
        <v>35</v>
      </c>
      <c r="E1028" s="14">
        <v>8811.0300000000007</v>
      </c>
      <c r="F1028" s="14"/>
      <c r="G1028" s="14"/>
      <c r="H1028" s="58">
        <f t="shared" si="69"/>
        <v>8811.0300000000007</v>
      </c>
      <c r="I1028" s="58">
        <f t="shared" si="68"/>
        <v>8811.0300000000007</v>
      </c>
      <c r="J1028" s="126"/>
      <c r="K1028" s="81"/>
      <c r="L1028" s="208"/>
    </row>
    <row r="1029" spans="1:12" s="54" customFormat="1" ht="24" outlineLevel="1" x14ac:dyDescent="0.2">
      <c r="A1029" s="93" t="s">
        <v>690</v>
      </c>
      <c r="B1029" s="103">
        <v>42993</v>
      </c>
      <c r="C1029" s="103">
        <v>43465</v>
      </c>
      <c r="D1029" s="194">
        <v>35</v>
      </c>
      <c r="E1029" s="14">
        <v>6573.06</v>
      </c>
      <c r="F1029" s="14">
        <v>22862.92</v>
      </c>
      <c r="G1029" s="14">
        <v>0</v>
      </c>
      <c r="H1029" s="58">
        <f t="shared" si="69"/>
        <v>29435.98</v>
      </c>
      <c r="I1029" s="58">
        <f t="shared" si="68"/>
        <v>29435.98</v>
      </c>
      <c r="J1029" s="126"/>
      <c r="K1029" s="81"/>
      <c r="L1029" s="208"/>
    </row>
    <row r="1030" spans="1:12" s="54" customFormat="1" outlineLevel="1" x14ac:dyDescent="0.2">
      <c r="A1030" s="93" t="s">
        <v>691</v>
      </c>
      <c r="B1030" s="103">
        <v>42555</v>
      </c>
      <c r="C1030" s="103">
        <v>43465</v>
      </c>
      <c r="D1030" s="194">
        <v>60</v>
      </c>
      <c r="E1030" s="14">
        <v>0</v>
      </c>
      <c r="F1030" s="14">
        <v>7078.57</v>
      </c>
      <c r="G1030" s="14">
        <v>0</v>
      </c>
      <c r="H1030" s="58">
        <f t="shared" si="69"/>
        <v>7078.57</v>
      </c>
      <c r="I1030" s="58">
        <f t="shared" si="68"/>
        <v>7078.57</v>
      </c>
      <c r="J1030" s="126"/>
      <c r="K1030" s="81"/>
      <c r="L1030" s="208"/>
    </row>
    <row r="1031" spans="1:12" s="54" customFormat="1" ht="24" outlineLevel="1" x14ac:dyDescent="0.2">
      <c r="A1031" s="22" t="s">
        <v>814</v>
      </c>
      <c r="B1031" s="104">
        <v>42674</v>
      </c>
      <c r="C1031" s="103">
        <v>43465</v>
      </c>
      <c r="D1031" s="194">
        <v>40</v>
      </c>
      <c r="E1031" s="14">
        <v>292292.84000000003</v>
      </c>
      <c r="F1031" s="14"/>
      <c r="G1031" s="14"/>
      <c r="H1031" s="58">
        <f t="shared" si="69"/>
        <v>292292.84000000003</v>
      </c>
      <c r="I1031" s="52">
        <f t="shared" si="68"/>
        <v>292292.84000000003</v>
      </c>
      <c r="J1031" s="126"/>
      <c r="K1031" s="81"/>
      <c r="L1031" s="208"/>
    </row>
    <row r="1032" spans="1:12" s="54" customFormat="1" ht="24" outlineLevel="1" x14ac:dyDescent="0.2">
      <c r="A1032" s="22" t="s">
        <v>815</v>
      </c>
      <c r="B1032" s="103">
        <v>42717</v>
      </c>
      <c r="C1032" s="103">
        <v>43465</v>
      </c>
      <c r="D1032" s="194">
        <v>40</v>
      </c>
      <c r="E1032" s="14">
        <v>30444.33</v>
      </c>
      <c r="F1032" s="14"/>
      <c r="G1032" s="14"/>
      <c r="H1032" s="58">
        <f t="shared" si="69"/>
        <v>30444.33</v>
      </c>
      <c r="I1032" s="52">
        <f t="shared" si="68"/>
        <v>30444.33</v>
      </c>
      <c r="J1032" s="126"/>
      <c r="K1032" s="81"/>
      <c r="L1032" s="208"/>
    </row>
    <row r="1033" spans="1:12" s="54" customFormat="1" ht="24" outlineLevel="1" x14ac:dyDescent="0.2">
      <c r="A1033" s="93" t="s">
        <v>692</v>
      </c>
      <c r="B1033" s="103">
        <v>42985</v>
      </c>
      <c r="C1033" s="103">
        <v>43465</v>
      </c>
      <c r="D1033" s="194">
        <v>40</v>
      </c>
      <c r="E1033" s="14">
        <v>33576.75</v>
      </c>
      <c r="F1033" s="14">
        <v>51728.07</v>
      </c>
      <c r="G1033" s="14">
        <v>0</v>
      </c>
      <c r="H1033" s="58">
        <f t="shared" si="69"/>
        <v>85304.82</v>
      </c>
      <c r="I1033" s="58">
        <f t="shared" si="68"/>
        <v>85304.82</v>
      </c>
      <c r="J1033" s="126"/>
      <c r="K1033" s="81"/>
      <c r="L1033" s="208"/>
    </row>
    <row r="1034" spans="1:12" s="54" customFormat="1" ht="24" outlineLevel="1" x14ac:dyDescent="0.2">
      <c r="A1034" s="22" t="s">
        <v>816</v>
      </c>
      <c r="B1034" s="103">
        <v>42916</v>
      </c>
      <c r="C1034" s="103">
        <v>43465</v>
      </c>
      <c r="D1034" s="194">
        <v>40</v>
      </c>
      <c r="E1034" s="14">
        <f>10100+78180</f>
        <v>88280</v>
      </c>
      <c r="F1034" s="14">
        <v>1543028.97</v>
      </c>
      <c r="G1034" s="14">
        <v>233531.54</v>
      </c>
      <c r="H1034" s="58">
        <f t="shared" si="69"/>
        <v>1864840.51</v>
      </c>
      <c r="I1034" s="52">
        <f t="shared" si="68"/>
        <v>1864840.51</v>
      </c>
      <c r="J1034" s="126"/>
      <c r="K1034" s="81"/>
      <c r="L1034" s="208"/>
    </row>
    <row r="1035" spans="1:12" s="54" customFormat="1" ht="24" outlineLevel="1" x14ac:dyDescent="0.2">
      <c r="A1035" s="51" t="s">
        <v>1363</v>
      </c>
      <c r="B1035" s="103">
        <v>43281</v>
      </c>
      <c r="C1035" s="103">
        <v>43465</v>
      </c>
      <c r="D1035" s="194">
        <v>40</v>
      </c>
      <c r="E1035" s="14">
        <v>6719.57</v>
      </c>
      <c r="F1035" s="14"/>
      <c r="G1035" s="14"/>
      <c r="H1035" s="58">
        <f t="shared" si="69"/>
        <v>6719.57</v>
      </c>
      <c r="I1035" s="52">
        <f t="shared" si="68"/>
        <v>6719.57</v>
      </c>
      <c r="J1035" s="126"/>
      <c r="K1035" s="81"/>
      <c r="L1035" s="208"/>
    </row>
    <row r="1036" spans="1:12" s="54" customFormat="1" ht="24" outlineLevel="1" x14ac:dyDescent="0.2">
      <c r="A1036" s="51" t="s">
        <v>1364</v>
      </c>
      <c r="B1036" s="103">
        <v>43281</v>
      </c>
      <c r="C1036" s="103">
        <v>43465</v>
      </c>
      <c r="D1036" s="194">
        <v>40</v>
      </c>
      <c r="E1036" s="14">
        <v>2717.06</v>
      </c>
      <c r="F1036" s="14">
        <v>29156.78</v>
      </c>
      <c r="G1036" s="14"/>
      <c r="H1036" s="58">
        <f t="shared" si="69"/>
        <v>31873.84</v>
      </c>
      <c r="I1036" s="52">
        <f t="shared" si="68"/>
        <v>31873.84</v>
      </c>
      <c r="J1036" s="126"/>
      <c r="K1036" s="81"/>
      <c r="L1036" s="208"/>
    </row>
    <row r="1037" spans="1:12" s="54" customFormat="1" ht="24" outlineLevel="1" x14ac:dyDescent="0.2">
      <c r="A1037" s="93" t="s">
        <v>693</v>
      </c>
      <c r="B1037" s="103">
        <v>43068</v>
      </c>
      <c r="C1037" s="103">
        <v>43465</v>
      </c>
      <c r="D1037" s="194">
        <v>44</v>
      </c>
      <c r="E1037" s="14">
        <v>8936.64</v>
      </c>
      <c r="F1037" s="14">
        <v>9024.86</v>
      </c>
      <c r="G1037" s="14">
        <v>0</v>
      </c>
      <c r="H1037" s="58">
        <f t="shared" si="69"/>
        <v>17961.5</v>
      </c>
      <c r="I1037" s="58">
        <f t="shared" si="68"/>
        <v>17961.5</v>
      </c>
      <c r="J1037" s="126"/>
      <c r="K1037" s="81"/>
      <c r="L1037" s="208"/>
    </row>
    <row r="1038" spans="1:12" s="54" customFormat="1" ht="24" outlineLevel="1" x14ac:dyDescent="0.2">
      <c r="A1038" s="93" t="s">
        <v>694</v>
      </c>
      <c r="B1038" s="103">
        <v>42886</v>
      </c>
      <c r="C1038" s="103">
        <v>43465</v>
      </c>
      <c r="D1038" s="194">
        <v>60</v>
      </c>
      <c r="E1038" s="14">
        <v>0</v>
      </c>
      <c r="F1038" s="14">
        <v>64666.6</v>
      </c>
      <c r="G1038" s="14">
        <v>0</v>
      </c>
      <c r="H1038" s="58">
        <f t="shared" si="69"/>
        <v>64666.6</v>
      </c>
      <c r="I1038" s="58">
        <f t="shared" si="68"/>
        <v>64666.6</v>
      </c>
      <c r="J1038" s="126"/>
      <c r="K1038" s="81"/>
      <c r="L1038" s="208"/>
    </row>
    <row r="1039" spans="1:12" s="54" customFormat="1" ht="24" outlineLevel="1" x14ac:dyDescent="0.2">
      <c r="A1039" s="93" t="s">
        <v>695</v>
      </c>
      <c r="B1039" s="103">
        <v>42989</v>
      </c>
      <c r="C1039" s="103">
        <v>43159</v>
      </c>
      <c r="D1039" s="194">
        <v>90</v>
      </c>
      <c r="E1039" s="14">
        <v>43042</v>
      </c>
      <c r="F1039" s="14">
        <f>63361.39+1007.45</f>
        <v>64368.84</v>
      </c>
      <c r="G1039" s="14">
        <v>0</v>
      </c>
      <c r="H1039" s="58">
        <f t="shared" si="69"/>
        <v>107410.84</v>
      </c>
      <c r="I1039" s="58">
        <f t="shared" si="68"/>
        <v>107410.84</v>
      </c>
      <c r="J1039" s="126"/>
      <c r="K1039" s="81"/>
      <c r="L1039" s="208"/>
    </row>
    <row r="1040" spans="1:12" s="54" customFormat="1" ht="24" outlineLevel="1" x14ac:dyDescent="0.2">
      <c r="A1040" s="93" t="s">
        <v>696</v>
      </c>
      <c r="B1040" s="103">
        <v>42990</v>
      </c>
      <c r="C1040" s="103">
        <v>43465</v>
      </c>
      <c r="D1040" s="194">
        <v>55</v>
      </c>
      <c r="E1040" s="14">
        <v>34241.57</v>
      </c>
      <c r="F1040" s="14">
        <v>61338.04</v>
      </c>
      <c r="G1040" s="14">
        <v>0</v>
      </c>
      <c r="H1040" s="58">
        <f t="shared" si="69"/>
        <v>95579.61</v>
      </c>
      <c r="I1040" s="58">
        <f t="shared" si="68"/>
        <v>95579.61</v>
      </c>
      <c r="J1040" s="126"/>
      <c r="K1040" s="81"/>
      <c r="L1040" s="208"/>
    </row>
    <row r="1041" spans="1:12" s="54" customFormat="1" outlineLevel="1" x14ac:dyDescent="0.2">
      <c r="A1041" s="51" t="s">
        <v>1365</v>
      </c>
      <c r="B1041" s="103">
        <v>43220</v>
      </c>
      <c r="C1041" s="103">
        <v>43465</v>
      </c>
      <c r="D1041" s="194">
        <v>40</v>
      </c>
      <c r="E1041" s="14">
        <v>16804.3</v>
      </c>
      <c r="F1041" s="14"/>
      <c r="G1041" s="14"/>
      <c r="H1041" s="58">
        <f t="shared" si="69"/>
        <v>16804.3</v>
      </c>
      <c r="I1041" s="58">
        <f t="shared" si="68"/>
        <v>16804.3</v>
      </c>
      <c r="J1041" s="126"/>
      <c r="K1041" s="81"/>
      <c r="L1041" s="208"/>
    </row>
    <row r="1042" spans="1:12" s="54" customFormat="1" outlineLevel="1" x14ac:dyDescent="0.2">
      <c r="A1042" s="51" t="s">
        <v>1366</v>
      </c>
      <c r="B1042" s="103">
        <v>43251</v>
      </c>
      <c r="C1042" s="103">
        <v>43465</v>
      </c>
      <c r="D1042" s="194">
        <v>40</v>
      </c>
      <c r="E1042" s="14">
        <v>1652.7</v>
      </c>
      <c r="F1042" s="14"/>
      <c r="G1042" s="14"/>
      <c r="H1042" s="58">
        <f t="shared" si="69"/>
        <v>1652.7</v>
      </c>
      <c r="I1042" s="58">
        <f t="shared" si="68"/>
        <v>1652.7</v>
      </c>
      <c r="J1042" s="126"/>
      <c r="K1042" s="81"/>
      <c r="L1042" s="208"/>
    </row>
    <row r="1043" spans="1:12" s="54" customFormat="1" outlineLevel="1" x14ac:dyDescent="0.2">
      <c r="A1043" s="51" t="s">
        <v>1367</v>
      </c>
      <c r="B1043" s="103">
        <v>43251</v>
      </c>
      <c r="C1043" s="103">
        <v>43465</v>
      </c>
      <c r="D1043" s="194">
        <v>40</v>
      </c>
      <c r="E1043" s="14">
        <v>1652.7</v>
      </c>
      <c r="F1043" s="14"/>
      <c r="G1043" s="14"/>
      <c r="H1043" s="58">
        <f t="shared" si="69"/>
        <v>1652.7</v>
      </c>
      <c r="I1043" s="58">
        <f t="shared" si="68"/>
        <v>1652.7</v>
      </c>
      <c r="J1043" s="126"/>
      <c r="K1043" s="81"/>
      <c r="L1043" s="208"/>
    </row>
    <row r="1044" spans="1:12" s="54" customFormat="1" ht="24" outlineLevel="1" x14ac:dyDescent="0.2">
      <c r="A1044" s="93" t="s">
        <v>697</v>
      </c>
      <c r="B1044" s="103">
        <v>43024</v>
      </c>
      <c r="C1044" s="103">
        <v>43465</v>
      </c>
      <c r="D1044" s="194">
        <v>40</v>
      </c>
      <c r="E1044" s="14">
        <v>0</v>
      </c>
      <c r="F1044" s="14">
        <v>7901.33</v>
      </c>
      <c r="G1044" s="14">
        <v>0</v>
      </c>
      <c r="H1044" s="58">
        <f t="shared" si="69"/>
        <v>7901.33</v>
      </c>
      <c r="I1044" s="58">
        <f t="shared" si="68"/>
        <v>7901.33</v>
      </c>
      <c r="J1044" s="126"/>
      <c r="K1044" s="81"/>
      <c r="L1044" s="208"/>
    </row>
    <row r="1045" spans="1:12" s="54" customFormat="1" ht="24" outlineLevel="1" x14ac:dyDescent="0.2">
      <c r="A1045" s="93" t="s">
        <v>698</v>
      </c>
      <c r="B1045" s="103">
        <v>42626</v>
      </c>
      <c r="C1045" s="103">
        <v>43465</v>
      </c>
      <c r="D1045" s="194">
        <v>80</v>
      </c>
      <c r="E1045" s="14">
        <v>0</v>
      </c>
      <c r="F1045" s="14">
        <v>0</v>
      </c>
      <c r="G1045" s="14">
        <v>588.14</v>
      </c>
      <c r="H1045" s="58">
        <f t="shared" si="69"/>
        <v>588.14</v>
      </c>
      <c r="I1045" s="58">
        <f t="shared" si="68"/>
        <v>588.14</v>
      </c>
      <c r="J1045" s="160"/>
      <c r="K1045" s="81"/>
      <c r="L1045" s="208"/>
    </row>
    <row r="1046" spans="1:12" s="54" customFormat="1" ht="24" outlineLevel="1" x14ac:dyDescent="0.2">
      <c r="A1046" s="93" t="s">
        <v>699</v>
      </c>
      <c r="B1046" s="103">
        <v>42577</v>
      </c>
      <c r="C1046" s="103">
        <v>43189</v>
      </c>
      <c r="D1046" s="194">
        <v>90</v>
      </c>
      <c r="E1046" s="14">
        <f>19445.64+10298.33</f>
        <v>29743.97</v>
      </c>
      <c r="F1046" s="14">
        <f>7986.16+1007.45</f>
        <v>8993.61</v>
      </c>
      <c r="G1046" s="14">
        <v>0</v>
      </c>
      <c r="H1046" s="58">
        <f t="shared" si="69"/>
        <v>38737.58</v>
      </c>
      <c r="I1046" s="58">
        <f t="shared" si="68"/>
        <v>38737.58</v>
      </c>
      <c r="J1046" s="126"/>
      <c r="K1046" s="81"/>
      <c r="L1046" s="208"/>
    </row>
    <row r="1047" spans="1:12" s="54" customFormat="1" outlineLevel="1" x14ac:dyDescent="0.2">
      <c r="A1047" s="51" t="s">
        <v>1368</v>
      </c>
      <c r="B1047" s="103">
        <v>43251</v>
      </c>
      <c r="C1047" s="103">
        <v>43465</v>
      </c>
      <c r="D1047" s="194">
        <v>40</v>
      </c>
      <c r="E1047" s="14">
        <v>7796.34</v>
      </c>
      <c r="F1047" s="14"/>
      <c r="G1047" s="14"/>
      <c r="H1047" s="58">
        <f t="shared" si="69"/>
        <v>7796.34</v>
      </c>
      <c r="I1047" s="58">
        <f t="shared" si="68"/>
        <v>7796.34</v>
      </c>
      <c r="J1047" s="126"/>
      <c r="K1047" s="81"/>
      <c r="L1047" s="208"/>
    </row>
    <row r="1048" spans="1:12" s="54" customFormat="1" ht="24" outlineLevel="1" x14ac:dyDescent="0.2">
      <c r="A1048" s="93" t="s">
        <v>700</v>
      </c>
      <c r="B1048" s="103">
        <v>42846</v>
      </c>
      <c r="C1048" s="103">
        <v>43465</v>
      </c>
      <c r="D1048" s="194">
        <v>30</v>
      </c>
      <c r="E1048" s="14">
        <v>0</v>
      </c>
      <c r="F1048" s="14">
        <v>2825.44</v>
      </c>
      <c r="G1048" s="14">
        <v>0</v>
      </c>
      <c r="H1048" s="58">
        <f t="shared" si="69"/>
        <v>2825.44</v>
      </c>
      <c r="I1048" s="58">
        <f t="shared" ref="I1048:I1117" si="70">H1048</f>
        <v>2825.44</v>
      </c>
      <c r="J1048" s="126"/>
      <c r="K1048" s="81"/>
      <c r="L1048" s="208"/>
    </row>
    <row r="1049" spans="1:12" s="54" customFormat="1" ht="24" outlineLevel="1" x14ac:dyDescent="0.2">
      <c r="A1049" s="93" t="s">
        <v>701</v>
      </c>
      <c r="B1049" s="103">
        <v>43027</v>
      </c>
      <c r="C1049" s="103">
        <v>43465</v>
      </c>
      <c r="D1049" s="194">
        <v>45</v>
      </c>
      <c r="E1049" s="14">
        <v>0</v>
      </c>
      <c r="F1049" s="14">
        <f>64032+65858.21</f>
        <v>129890.21</v>
      </c>
      <c r="G1049" s="14">
        <v>0</v>
      </c>
      <c r="H1049" s="58">
        <f t="shared" si="69"/>
        <v>129890.21</v>
      </c>
      <c r="I1049" s="58">
        <f t="shared" si="70"/>
        <v>129890.21</v>
      </c>
      <c r="J1049" s="126"/>
      <c r="K1049" s="81"/>
      <c r="L1049" s="208"/>
    </row>
    <row r="1050" spans="1:12" s="54" customFormat="1" ht="24" outlineLevel="1" x14ac:dyDescent="0.2">
      <c r="A1050" s="51" t="s">
        <v>1369</v>
      </c>
      <c r="B1050" s="103">
        <v>43281</v>
      </c>
      <c r="C1050" s="103">
        <v>43465</v>
      </c>
      <c r="D1050" s="194">
        <v>40</v>
      </c>
      <c r="E1050" s="14">
        <v>8936.64</v>
      </c>
      <c r="F1050" s="14"/>
      <c r="G1050" s="14"/>
      <c r="H1050" s="58">
        <f t="shared" si="69"/>
        <v>8936.64</v>
      </c>
      <c r="I1050" s="58">
        <f t="shared" si="70"/>
        <v>8936.64</v>
      </c>
      <c r="J1050" s="126"/>
      <c r="K1050" s="81"/>
      <c r="L1050" s="208"/>
    </row>
    <row r="1051" spans="1:12" s="54" customFormat="1" ht="24" outlineLevel="1" x14ac:dyDescent="0.2">
      <c r="A1051" s="22" t="s">
        <v>702</v>
      </c>
      <c r="B1051" s="104">
        <v>42825</v>
      </c>
      <c r="C1051" s="103">
        <v>43465</v>
      </c>
      <c r="D1051" s="194">
        <v>70</v>
      </c>
      <c r="E1051" s="14">
        <v>90908.79</v>
      </c>
      <c r="F1051" s="14">
        <v>57225.55</v>
      </c>
      <c r="G1051" s="14"/>
      <c r="H1051" s="58">
        <f t="shared" si="69"/>
        <v>148134.34</v>
      </c>
      <c r="I1051" s="52">
        <f t="shared" si="70"/>
        <v>148134.34</v>
      </c>
      <c r="J1051" s="126"/>
      <c r="K1051" s="81"/>
      <c r="L1051" s="208"/>
    </row>
    <row r="1052" spans="1:12" s="54" customFormat="1" ht="24" outlineLevel="1" x14ac:dyDescent="0.2">
      <c r="A1052" s="93" t="s">
        <v>703</v>
      </c>
      <c r="B1052" s="103"/>
      <c r="C1052" s="103">
        <v>43465</v>
      </c>
      <c r="D1052" s="194">
        <v>40</v>
      </c>
      <c r="E1052" s="14">
        <v>20800.560000000001</v>
      </c>
      <c r="F1052" s="14">
        <f>63619.49+171947.63</f>
        <v>235567.12</v>
      </c>
      <c r="G1052" s="14">
        <v>0</v>
      </c>
      <c r="H1052" s="58">
        <f t="shared" si="69"/>
        <v>256367.68</v>
      </c>
      <c r="I1052" s="58">
        <f t="shared" si="70"/>
        <v>256367.68</v>
      </c>
      <c r="J1052" s="126"/>
      <c r="K1052" s="81"/>
      <c r="L1052" s="208"/>
    </row>
    <row r="1053" spans="1:12" s="54" customFormat="1" outlineLevel="1" x14ac:dyDescent="0.2">
      <c r="A1053" s="93" t="s">
        <v>704</v>
      </c>
      <c r="B1053" s="103">
        <v>43094</v>
      </c>
      <c r="C1053" s="103">
        <v>43465</v>
      </c>
      <c r="D1053" s="194">
        <v>30</v>
      </c>
      <c r="E1053" s="14">
        <v>0</v>
      </c>
      <c r="F1053" s="14">
        <v>3723.91</v>
      </c>
      <c r="G1053" s="14">
        <v>0</v>
      </c>
      <c r="H1053" s="58">
        <f t="shared" si="69"/>
        <v>3723.91</v>
      </c>
      <c r="I1053" s="58">
        <f t="shared" si="70"/>
        <v>3723.91</v>
      </c>
      <c r="J1053" s="126"/>
      <c r="K1053" s="81"/>
      <c r="L1053" s="208"/>
    </row>
    <row r="1054" spans="1:12" s="54" customFormat="1" outlineLevel="1" x14ac:dyDescent="0.2">
      <c r="A1054" s="51" t="s">
        <v>1370</v>
      </c>
      <c r="B1054" s="103">
        <v>43251</v>
      </c>
      <c r="C1054" s="103">
        <v>43465</v>
      </c>
      <c r="D1054" s="194">
        <v>40</v>
      </c>
      <c r="E1054" s="14">
        <v>10829.43</v>
      </c>
      <c r="F1054" s="14"/>
      <c r="G1054" s="14"/>
      <c r="H1054" s="58">
        <f t="shared" si="69"/>
        <v>10829.43</v>
      </c>
      <c r="I1054" s="58">
        <f t="shared" si="70"/>
        <v>10829.43</v>
      </c>
      <c r="J1054" s="126"/>
      <c r="K1054" s="81"/>
      <c r="L1054" s="208"/>
    </row>
    <row r="1055" spans="1:12" s="54" customFormat="1" ht="24" outlineLevel="1" x14ac:dyDescent="0.2">
      <c r="A1055" s="93" t="s">
        <v>705</v>
      </c>
      <c r="B1055" s="103">
        <v>43066</v>
      </c>
      <c r="C1055" s="103">
        <v>43465</v>
      </c>
      <c r="D1055" s="194">
        <v>80</v>
      </c>
      <c r="E1055" s="14">
        <v>0</v>
      </c>
      <c r="F1055" s="14">
        <v>7901.33</v>
      </c>
      <c r="G1055" s="14">
        <v>0</v>
      </c>
      <c r="H1055" s="58">
        <f t="shared" si="69"/>
        <v>7901.33</v>
      </c>
      <c r="I1055" s="58">
        <f t="shared" si="70"/>
        <v>7901.33</v>
      </c>
      <c r="J1055" s="126"/>
      <c r="K1055" s="81"/>
      <c r="L1055" s="208"/>
    </row>
    <row r="1056" spans="1:12" s="54" customFormat="1" ht="24" outlineLevel="1" x14ac:dyDescent="0.2">
      <c r="A1056" s="93" t="s">
        <v>706</v>
      </c>
      <c r="B1056" s="103">
        <v>43061</v>
      </c>
      <c r="C1056" s="103">
        <v>43465</v>
      </c>
      <c r="D1056" s="194">
        <v>50</v>
      </c>
      <c r="E1056" s="14">
        <v>26619.599999999999</v>
      </c>
      <c r="F1056" s="14">
        <v>2252.08</v>
      </c>
      <c r="G1056" s="14">
        <v>0</v>
      </c>
      <c r="H1056" s="58">
        <f t="shared" si="69"/>
        <v>28871.68</v>
      </c>
      <c r="I1056" s="58">
        <f t="shared" si="70"/>
        <v>28871.68</v>
      </c>
      <c r="J1056" s="126"/>
      <c r="K1056" s="81"/>
      <c r="L1056" s="208"/>
    </row>
    <row r="1057" spans="1:12" s="54" customFormat="1" outlineLevel="1" x14ac:dyDescent="0.2">
      <c r="A1057" s="51" t="s">
        <v>1371</v>
      </c>
      <c r="B1057" s="104">
        <v>43280</v>
      </c>
      <c r="C1057" s="103">
        <v>43465</v>
      </c>
      <c r="D1057" s="194">
        <v>40</v>
      </c>
      <c r="E1057" s="14">
        <v>2717.06</v>
      </c>
      <c r="F1057" s="14">
        <v>30105.65</v>
      </c>
      <c r="G1057" s="14"/>
      <c r="H1057" s="58">
        <f t="shared" si="69"/>
        <v>32822.71</v>
      </c>
      <c r="I1057" s="58">
        <f t="shared" si="70"/>
        <v>32822.71</v>
      </c>
      <c r="J1057" s="126"/>
      <c r="K1057" s="81"/>
      <c r="L1057" s="208"/>
    </row>
    <row r="1058" spans="1:12" s="54" customFormat="1" outlineLevel="1" x14ac:dyDescent="0.2">
      <c r="A1058" s="93" t="s">
        <v>707</v>
      </c>
      <c r="B1058" s="103">
        <v>43136</v>
      </c>
      <c r="C1058" s="103">
        <v>43465</v>
      </c>
      <c r="D1058" s="194">
        <v>4</v>
      </c>
      <c r="E1058" s="14">
        <v>3305.36</v>
      </c>
      <c r="F1058" s="14">
        <f>7809.05+33186.71</f>
        <v>40995.760000000002</v>
      </c>
      <c r="G1058" s="14">
        <v>0</v>
      </c>
      <c r="H1058" s="58">
        <f t="shared" si="69"/>
        <v>44301.120000000003</v>
      </c>
      <c r="I1058" s="58">
        <f t="shared" si="70"/>
        <v>44301.120000000003</v>
      </c>
      <c r="J1058" s="126"/>
      <c r="K1058" s="81"/>
      <c r="L1058" s="208"/>
    </row>
    <row r="1059" spans="1:12" s="54" customFormat="1" outlineLevel="1" x14ac:dyDescent="0.2">
      <c r="A1059" s="51" t="s">
        <v>1372</v>
      </c>
      <c r="B1059" s="103">
        <v>43281</v>
      </c>
      <c r="C1059" s="103">
        <v>43465</v>
      </c>
      <c r="D1059" s="194">
        <v>40</v>
      </c>
      <c r="E1059" s="14"/>
      <c r="F1059" s="14">
        <v>20645.990000000002</v>
      </c>
      <c r="G1059" s="14"/>
      <c r="H1059" s="58">
        <f t="shared" si="69"/>
        <v>20645.990000000002</v>
      </c>
      <c r="I1059" s="58">
        <f t="shared" si="70"/>
        <v>20645.990000000002</v>
      </c>
      <c r="J1059" s="126"/>
      <c r="K1059" s="81"/>
      <c r="L1059" s="208"/>
    </row>
    <row r="1060" spans="1:12" s="54" customFormat="1" ht="24" outlineLevel="1" x14ac:dyDescent="0.2">
      <c r="A1060" s="93" t="s">
        <v>708</v>
      </c>
      <c r="B1060" s="103">
        <v>42884</v>
      </c>
      <c r="C1060" s="103">
        <v>43465</v>
      </c>
      <c r="D1060" s="194">
        <v>45</v>
      </c>
      <c r="E1060" s="14">
        <v>0</v>
      </c>
      <c r="F1060" s="14">
        <f>18467.46+529164.43</f>
        <v>547631.89</v>
      </c>
      <c r="G1060" s="14">
        <v>0</v>
      </c>
      <c r="H1060" s="58">
        <f t="shared" si="69"/>
        <v>547631.89</v>
      </c>
      <c r="I1060" s="58">
        <f t="shared" si="70"/>
        <v>547631.89</v>
      </c>
      <c r="J1060" s="126"/>
      <c r="K1060" s="81"/>
      <c r="L1060" s="208"/>
    </row>
    <row r="1061" spans="1:12" s="54" customFormat="1" ht="24" outlineLevel="1" x14ac:dyDescent="0.2">
      <c r="A1061" s="93" t="s">
        <v>709</v>
      </c>
      <c r="B1061" s="103">
        <v>42997</v>
      </c>
      <c r="C1061" s="103">
        <v>43117</v>
      </c>
      <c r="D1061" s="194">
        <v>90</v>
      </c>
      <c r="E1061" s="14">
        <v>28535.46</v>
      </c>
      <c r="F1061" s="14">
        <v>7357.82</v>
      </c>
      <c r="G1061" s="14">
        <v>0</v>
      </c>
      <c r="H1061" s="58">
        <f t="shared" si="69"/>
        <v>35893.279999999999</v>
      </c>
      <c r="I1061" s="58">
        <f t="shared" si="70"/>
        <v>35893.279999999999</v>
      </c>
      <c r="J1061" s="126"/>
      <c r="K1061" s="81"/>
      <c r="L1061" s="208"/>
    </row>
    <row r="1062" spans="1:12" s="54" customFormat="1" ht="24" outlineLevel="1" x14ac:dyDescent="0.2">
      <c r="A1062" s="51" t="s">
        <v>1373</v>
      </c>
      <c r="B1062" s="103">
        <v>43251</v>
      </c>
      <c r="C1062" s="103">
        <v>43465</v>
      </c>
      <c r="D1062" s="194">
        <v>40</v>
      </c>
      <c r="E1062" s="14">
        <v>10946.82</v>
      </c>
      <c r="F1062" s="14"/>
      <c r="G1062" s="14"/>
      <c r="H1062" s="58">
        <f t="shared" si="69"/>
        <v>10946.82</v>
      </c>
      <c r="I1062" s="58">
        <f t="shared" si="70"/>
        <v>10946.82</v>
      </c>
      <c r="J1062" s="126"/>
      <c r="K1062" s="81"/>
      <c r="L1062" s="208"/>
    </row>
    <row r="1063" spans="1:12" s="54" customFormat="1" ht="24" outlineLevel="1" x14ac:dyDescent="0.2">
      <c r="A1063" s="93" t="s">
        <v>710</v>
      </c>
      <c r="B1063" s="103">
        <v>43084</v>
      </c>
      <c r="C1063" s="103">
        <v>43465</v>
      </c>
      <c r="D1063" s="194">
        <v>45</v>
      </c>
      <c r="E1063" s="14">
        <v>9499.52</v>
      </c>
      <c r="F1063" s="14">
        <f>34322.61+7315.86</f>
        <v>41638.47</v>
      </c>
      <c r="G1063" s="14">
        <v>0</v>
      </c>
      <c r="H1063" s="58">
        <f t="shared" si="69"/>
        <v>51137.990000000005</v>
      </c>
      <c r="I1063" s="58">
        <f t="shared" si="70"/>
        <v>51137.990000000005</v>
      </c>
      <c r="J1063" s="126"/>
      <c r="K1063" s="81"/>
      <c r="L1063" s="208"/>
    </row>
    <row r="1064" spans="1:12" s="54" customFormat="1" ht="24" outlineLevel="1" x14ac:dyDescent="0.2">
      <c r="A1064" s="93" t="s">
        <v>711</v>
      </c>
      <c r="B1064" s="103">
        <v>42761</v>
      </c>
      <c r="C1064" s="103">
        <v>43465</v>
      </c>
      <c r="D1064" s="194">
        <v>70</v>
      </c>
      <c r="E1064" s="14">
        <v>40678.15</v>
      </c>
      <c r="F1064" s="14">
        <v>1633.94</v>
      </c>
      <c r="G1064" s="14">
        <v>0</v>
      </c>
      <c r="H1064" s="58">
        <f t="shared" si="69"/>
        <v>42312.090000000004</v>
      </c>
      <c r="I1064" s="58">
        <f t="shared" si="70"/>
        <v>42312.090000000004</v>
      </c>
      <c r="J1064" s="126"/>
      <c r="K1064" s="81"/>
      <c r="L1064" s="208"/>
    </row>
    <row r="1065" spans="1:12" s="54" customFormat="1" ht="24" outlineLevel="1" x14ac:dyDescent="0.2">
      <c r="A1065" s="22" t="s">
        <v>817</v>
      </c>
      <c r="B1065" s="104">
        <v>42745</v>
      </c>
      <c r="C1065" s="103">
        <v>43190</v>
      </c>
      <c r="D1065" s="194">
        <v>94</v>
      </c>
      <c r="E1065" s="14">
        <v>10444.33</v>
      </c>
      <c r="F1065" s="14">
        <v>44485.98</v>
      </c>
      <c r="G1065" s="14"/>
      <c r="H1065" s="58">
        <f t="shared" si="69"/>
        <v>54930.310000000005</v>
      </c>
      <c r="I1065" s="52">
        <f t="shared" si="70"/>
        <v>54930.310000000005</v>
      </c>
      <c r="J1065" s="126"/>
      <c r="K1065" s="81"/>
      <c r="L1065" s="208"/>
    </row>
    <row r="1066" spans="1:12" s="54" customFormat="1" ht="24" outlineLevel="1" x14ac:dyDescent="0.2">
      <c r="A1066" s="93" t="s">
        <v>712</v>
      </c>
      <c r="B1066" s="103">
        <v>42783</v>
      </c>
      <c r="C1066" s="103">
        <v>43111</v>
      </c>
      <c r="D1066" s="194">
        <v>80</v>
      </c>
      <c r="E1066" s="14">
        <v>0</v>
      </c>
      <c r="F1066" s="14">
        <f>6964.99+9427.02</f>
        <v>16392.010000000002</v>
      </c>
      <c r="G1066" s="14">
        <v>0</v>
      </c>
      <c r="H1066" s="58">
        <f t="shared" si="69"/>
        <v>16392.010000000002</v>
      </c>
      <c r="I1066" s="58">
        <f t="shared" si="70"/>
        <v>16392.010000000002</v>
      </c>
      <c r="J1066" s="126"/>
      <c r="K1066" s="81"/>
      <c r="L1066" s="208"/>
    </row>
    <row r="1067" spans="1:12" s="54" customFormat="1" ht="24" outlineLevel="1" x14ac:dyDescent="0.2">
      <c r="A1067" s="93" t="s">
        <v>713</v>
      </c>
      <c r="B1067" s="103">
        <v>42915</v>
      </c>
      <c r="C1067" s="103">
        <v>43465</v>
      </c>
      <c r="D1067" s="194">
        <v>40</v>
      </c>
      <c r="E1067" s="14">
        <f>6355-635.5</f>
        <v>5719.5</v>
      </c>
      <c r="F1067" s="14">
        <v>2825.44</v>
      </c>
      <c r="G1067" s="14">
        <v>0</v>
      </c>
      <c r="H1067" s="58">
        <f t="shared" si="69"/>
        <v>8544.94</v>
      </c>
      <c r="I1067" s="58">
        <f t="shared" si="70"/>
        <v>8544.94</v>
      </c>
      <c r="J1067" s="126"/>
      <c r="K1067" s="81"/>
      <c r="L1067" s="208"/>
    </row>
    <row r="1068" spans="1:12" s="54" customFormat="1" ht="24" outlineLevel="1" x14ac:dyDescent="0.2">
      <c r="A1068" s="22" t="s">
        <v>714</v>
      </c>
      <c r="B1068" s="104">
        <v>43091</v>
      </c>
      <c r="C1068" s="103">
        <v>43465</v>
      </c>
      <c r="D1068" s="194">
        <v>55</v>
      </c>
      <c r="E1068" s="14">
        <v>6355</v>
      </c>
      <c r="F1068" s="14">
        <f>27217.83+735782.28</f>
        <v>763000.11</v>
      </c>
      <c r="G1068" s="14"/>
      <c r="H1068" s="58">
        <f t="shared" si="69"/>
        <v>769355.11</v>
      </c>
      <c r="I1068" s="52">
        <f t="shared" si="70"/>
        <v>769355.11</v>
      </c>
      <c r="J1068" s="126"/>
      <c r="K1068" s="81"/>
      <c r="L1068" s="208"/>
    </row>
    <row r="1069" spans="1:12" s="54" customFormat="1" ht="24" outlineLevel="1" x14ac:dyDescent="0.2">
      <c r="A1069" s="51" t="s">
        <v>1374</v>
      </c>
      <c r="B1069" s="104">
        <v>43281</v>
      </c>
      <c r="C1069" s="103">
        <v>43465</v>
      </c>
      <c r="D1069" s="194">
        <v>40</v>
      </c>
      <c r="E1069" s="14">
        <v>5719.5</v>
      </c>
      <c r="F1069" s="14"/>
      <c r="G1069" s="14"/>
      <c r="H1069" s="58">
        <f t="shared" si="69"/>
        <v>5719.5</v>
      </c>
      <c r="I1069" s="52">
        <f t="shared" si="70"/>
        <v>5719.5</v>
      </c>
      <c r="J1069" s="126"/>
      <c r="K1069" s="81"/>
      <c r="L1069" s="208"/>
    </row>
    <row r="1070" spans="1:12" s="54" customFormat="1" outlineLevel="1" x14ac:dyDescent="0.2">
      <c r="A1070" s="93" t="s">
        <v>715</v>
      </c>
      <c r="B1070" s="103">
        <v>43054</v>
      </c>
      <c r="C1070" s="103">
        <v>43465</v>
      </c>
      <c r="D1070" s="194">
        <v>40</v>
      </c>
      <c r="E1070" s="14">
        <v>0</v>
      </c>
      <c r="F1070" s="14">
        <f>16374.2+136458.02</f>
        <v>152832.22</v>
      </c>
      <c r="G1070" s="14">
        <v>0</v>
      </c>
      <c r="H1070" s="58">
        <f t="shared" si="69"/>
        <v>152832.22</v>
      </c>
      <c r="I1070" s="58">
        <f t="shared" si="70"/>
        <v>152832.22</v>
      </c>
      <c r="J1070" s="126"/>
      <c r="K1070" s="81"/>
      <c r="L1070" s="208"/>
    </row>
    <row r="1071" spans="1:12" s="54" customFormat="1" ht="24" outlineLevel="1" x14ac:dyDescent="0.2">
      <c r="A1071" s="93" t="s">
        <v>716</v>
      </c>
      <c r="B1071" s="103">
        <v>42955</v>
      </c>
      <c r="C1071" s="103">
        <v>43465</v>
      </c>
      <c r="D1071" s="194">
        <v>50</v>
      </c>
      <c r="E1071" s="14">
        <v>0</v>
      </c>
      <c r="F1071" s="14">
        <v>15830.55</v>
      </c>
      <c r="G1071" s="14">
        <v>0</v>
      </c>
      <c r="H1071" s="58">
        <f t="shared" si="69"/>
        <v>15830.55</v>
      </c>
      <c r="I1071" s="58">
        <f t="shared" si="70"/>
        <v>15830.55</v>
      </c>
      <c r="J1071" s="126"/>
      <c r="K1071" s="81"/>
      <c r="L1071" s="208"/>
    </row>
    <row r="1072" spans="1:12" s="54" customFormat="1" ht="24" outlineLevel="1" x14ac:dyDescent="0.2">
      <c r="A1072" s="93" t="s">
        <v>717</v>
      </c>
      <c r="B1072" s="103">
        <v>42768</v>
      </c>
      <c r="C1072" s="103">
        <v>43465</v>
      </c>
      <c r="D1072" s="194">
        <v>60</v>
      </c>
      <c r="E1072" s="14">
        <v>76608.03</v>
      </c>
      <c r="F1072" s="14">
        <v>17771.93</v>
      </c>
      <c r="G1072" s="14">
        <v>0</v>
      </c>
      <c r="H1072" s="58">
        <f t="shared" si="69"/>
        <v>94379.959999999992</v>
      </c>
      <c r="I1072" s="58">
        <f t="shared" si="70"/>
        <v>94379.959999999992</v>
      </c>
      <c r="J1072" s="126"/>
      <c r="K1072" s="81"/>
      <c r="L1072" s="208"/>
    </row>
    <row r="1073" spans="1:12" s="54" customFormat="1" ht="24" outlineLevel="1" x14ac:dyDescent="0.2">
      <c r="A1073" s="93" t="s">
        <v>718</v>
      </c>
      <c r="B1073" s="103">
        <v>42761</v>
      </c>
      <c r="C1073" s="103">
        <v>43465</v>
      </c>
      <c r="D1073" s="194">
        <v>60</v>
      </c>
      <c r="E1073" s="14">
        <v>0</v>
      </c>
      <c r="F1073" s="14">
        <v>11864.41</v>
      </c>
      <c r="G1073" s="14">
        <v>0</v>
      </c>
      <c r="H1073" s="58">
        <f t="shared" si="69"/>
        <v>11864.41</v>
      </c>
      <c r="I1073" s="58">
        <f t="shared" si="70"/>
        <v>11864.41</v>
      </c>
      <c r="J1073" s="126"/>
      <c r="K1073" s="81"/>
      <c r="L1073" s="208"/>
    </row>
    <row r="1074" spans="1:12" s="54" customFormat="1" ht="24" outlineLevel="1" x14ac:dyDescent="0.2">
      <c r="A1074" s="93" t="s">
        <v>719</v>
      </c>
      <c r="B1074" s="103">
        <v>43070</v>
      </c>
      <c r="C1074" s="103">
        <v>43465</v>
      </c>
      <c r="D1074" s="194">
        <v>65</v>
      </c>
      <c r="E1074" s="14">
        <v>8595.07</v>
      </c>
      <c r="F1074" s="14">
        <v>9024.86</v>
      </c>
      <c r="G1074" s="14">
        <v>0</v>
      </c>
      <c r="H1074" s="58">
        <f t="shared" si="69"/>
        <v>17619.93</v>
      </c>
      <c r="I1074" s="58">
        <f t="shared" si="70"/>
        <v>17619.93</v>
      </c>
      <c r="J1074" s="126"/>
      <c r="K1074" s="81"/>
      <c r="L1074" s="208"/>
    </row>
    <row r="1075" spans="1:12" s="54" customFormat="1" outlineLevel="1" x14ac:dyDescent="0.2">
      <c r="A1075" s="93" t="s">
        <v>720</v>
      </c>
      <c r="B1075" s="103">
        <v>42815</v>
      </c>
      <c r="C1075" s="103">
        <v>43465</v>
      </c>
      <c r="D1075" s="194">
        <v>30</v>
      </c>
      <c r="E1075" s="14">
        <v>9880.41</v>
      </c>
      <c r="F1075" s="14">
        <v>10677.51</v>
      </c>
      <c r="G1075" s="14">
        <v>0</v>
      </c>
      <c r="H1075" s="58">
        <f t="shared" si="69"/>
        <v>20557.919999999998</v>
      </c>
      <c r="I1075" s="58">
        <f t="shared" si="70"/>
        <v>20557.919999999998</v>
      </c>
      <c r="J1075" s="126"/>
      <c r="K1075" s="81"/>
      <c r="L1075" s="208"/>
    </row>
    <row r="1076" spans="1:12" s="54" customFormat="1" outlineLevel="1" x14ac:dyDescent="0.2">
      <c r="A1076" s="51" t="s">
        <v>1375</v>
      </c>
      <c r="B1076" s="103">
        <v>43281</v>
      </c>
      <c r="C1076" s="103">
        <v>43465</v>
      </c>
      <c r="D1076" s="194">
        <v>40</v>
      </c>
      <c r="E1076" s="14">
        <v>2768.79</v>
      </c>
      <c r="F1076" s="14"/>
      <c r="G1076" s="14"/>
      <c r="H1076" s="58">
        <f t="shared" si="69"/>
        <v>2768.79</v>
      </c>
      <c r="I1076" s="58">
        <f t="shared" si="70"/>
        <v>2768.79</v>
      </c>
      <c r="J1076" s="126"/>
      <c r="K1076" s="81"/>
      <c r="L1076" s="208"/>
    </row>
    <row r="1077" spans="1:12" s="54" customFormat="1" ht="24" outlineLevel="1" x14ac:dyDescent="0.2">
      <c r="A1077" s="93" t="s">
        <v>721</v>
      </c>
      <c r="B1077" s="103">
        <v>42522</v>
      </c>
      <c r="C1077" s="103">
        <v>43465</v>
      </c>
      <c r="D1077" s="194">
        <v>75</v>
      </c>
      <c r="E1077" s="14">
        <v>0</v>
      </c>
      <c r="F1077" s="14">
        <v>1178.83</v>
      </c>
      <c r="G1077" s="14">
        <v>0</v>
      </c>
      <c r="H1077" s="58">
        <f t="shared" si="69"/>
        <v>1178.83</v>
      </c>
      <c r="I1077" s="58">
        <f t="shared" si="70"/>
        <v>1178.83</v>
      </c>
      <c r="J1077" s="126"/>
      <c r="K1077" s="81"/>
      <c r="L1077" s="208"/>
    </row>
    <row r="1078" spans="1:12" s="54" customFormat="1" ht="24" outlineLevel="1" x14ac:dyDescent="0.2">
      <c r="A1078" s="93" t="s">
        <v>722</v>
      </c>
      <c r="B1078" s="103"/>
      <c r="C1078" s="103">
        <v>43465</v>
      </c>
      <c r="D1078" s="194">
        <v>40</v>
      </c>
      <c r="E1078" s="14">
        <v>0</v>
      </c>
      <c r="F1078" s="14">
        <f>11184.16+33579.55</f>
        <v>44763.710000000006</v>
      </c>
      <c r="G1078" s="14">
        <v>0</v>
      </c>
      <c r="H1078" s="58">
        <f t="shared" si="69"/>
        <v>44763.710000000006</v>
      </c>
      <c r="I1078" s="58">
        <f t="shared" si="70"/>
        <v>44763.710000000006</v>
      </c>
      <c r="J1078" s="126"/>
      <c r="K1078" s="81"/>
      <c r="L1078" s="208"/>
    </row>
    <row r="1079" spans="1:12" s="54" customFormat="1" outlineLevel="1" x14ac:dyDescent="0.2">
      <c r="A1079" s="93" t="s">
        <v>723</v>
      </c>
      <c r="B1079" s="103">
        <v>43067</v>
      </c>
      <c r="C1079" s="103">
        <v>43465</v>
      </c>
      <c r="D1079" s="194">
        <v>50</v>
      </c>
      <c r="E1079" s="14">
        <f>39157.65+8479.58</f>
        <v>47637.23</v>
      </c>
      <c r="F1079" s="14">
        <f>10150.87+1574.13</f>
        <v>11725</v>
      </c>
      <c r="G1079" s="14">
        <v>0</v>
      </c>
      <c r="H1079" s="58">
        <f t="shared" si="69"/>
        <v>59362.23</v>
      </c>
      <c r="I1079" s="58">
        <f t="shared" si="70"/>
        <v>59362.23</v>
      </c>
      <c r="J1079" s="126"/>
      <c r="K1079" s="81"/>
      <c r="L1079" s="208"/>
    </row>
    <row r="1080" spans="1:12" s="54" customFormat="1" outlineLevel="1" x14ac:dyDescent="0.2">
      <c r="A1080" s="93" t="s">
        <v>724</v>
      </c>
      <c r="B1080" s="103">
        <v>43069</v>
      </c>
      <c r="C1080" s="103">
        <v>43465</v>
      </c>
      <c r="D1080" s="194">
        <v>50</v>
      </c>
      <c r="E1080" s="14">
        <f>38642.51+8479.58</f>
        <v>47122.090000000004</v>
      </c>
      <c r="F1080" s="14">
        <f>10150.87+1574.13</f>
        <v>11725</v>
      </c>
      <c r="G1080" s="14">
        <v>0</v>
      </c>
      <c r="H1080" s="58">
        <f t="shared" si="69"/>
        <v>58847.090000000004</v>
      </c>
      <c r="I1080" s="58">
        <f t="shared" si="70"/>
        <v>58847.090000000004</v>
      </c>
      <c r="J1080" s="126"/>
      <c r="K1080" s="81"/>
      <c r="L1080" s="208"/>
    </row>
    <row r="1081" spans="1:12" s="54" customFormat="1" ht="24" outlineLevel="1" x14ac:dyDescent="0.2">
      <c r="A1081" s="93" t="s">
        <v>725</v>
      </c>
      <c r="B1081" s="103">
        <v>43089</v>
      </c>
      <c r="C1081" s="103">
        <v>43465</v>
      </c>
      <c r="D1081" s="194">
        <v>60</v>
      </c>
      <c r="E1081" s="14">
        <v>8527.3700000000008</v>
      </c>
      <c r="F1081" s="14">
        <v>10150.870000000001</v>
      </c>
      <c r="G1081" s="14">
        <v>0</v>
      </c>
      <c r="H1081" s="58">
        <f t="shared" si="69"/>
        <v>18678.240000000002</v>
      </c>
      <c r="I1081" s="58">
        <f t="shared" si="70"/>
        <v>18678.240000000002</v>
      </c>
      <c r="J1081" s="126"/>
      <c r="K1081" s="81"/>
      <c r="L1081" s="208"/>
    </row>
    <row r="1082" spans="1:12" s="54" customFormat="1" outlineLevel="1" x14ac:dyDescent="0.2">
      <c r="A1082" s="93" t="s">
        <v>726</v>
      </c>
      <c r="B1082" s="103">
        <v>43060</v>
      </c>
      <c r="C1082" s="103">
        <v>43465</v>
      </c>
      <c r="D1082" s="194">
        <v>50</v>
      </c>
      <c r="E1082" s="14">
        <v>8542.64</v>
      </c>
      <c r="F1082" s="14">
        <v>9024.86</v>
      </c>
      <c r="G1082" s="14">
        <v>0</v>
      </c>
      <c r="H1082" s="58">
        <f t="shared" si="69"/>
        <v>17567.5</v>
      </c>
      <c r="I1082" s="58">
        <f t="shared" si="70"/>
        <v>17567.5</v>
      </c>
      <c r="J1082" s="126"/>
      <c r="K1082" s="81"/>
      <c r="L1082" s="208"/>
    </row>
    <row r="1083" spans="1:12" s="54" customFormat="1" ht="24" outlineLevel="1" x14ac:dyDescent="0.2">
      <c r="A1083" s="93" t="s">
        <v>727</v>
      </c>
      <c r="B1083" s="103">
        <v>43042</v>
      </c>
      <c r="C1083" s="103">
        <v>43465</v>
      </c>
      <c r="D1083" s="194">
        <v>50</v>
      </c>
      <c r="E1083" s="14">
        <v>1513.87</v>
      </c>
      <c r="F1083" s="14">
        <f>63964.39+33410.19</f>
        <v>97374.58</v>
      </c>
      <c r="G1083" s="14">
        <v>0</v>
      </c>
      <c r="H1083" s="58">
        <f t="shared" ref="H1083:H1146" si="71">E1083+F1083+G1083</f>
        <v>98888.45</v>
      </c>
      <c r="I1083" s="58">
        <f t="shared" si="70"/>
        <v>98888.45</v>
      </c>
      <c r="J1083" s="126"/>
      <c r="K1083" s="81"/>
      <c r="L1083" s="208"/>
    </row>
    <row r="1084" spans="1:12" s="54" customFormat="1" outlineLevel="1" x14ac:dyDescent="0.2">
      <c r="A1084" s="93" t="s">
        <v>728</v>
      </c>
      <c r="B1084" s="103">
        <v>43122</v>
      </c>
      <c r="C1084" s="103">
        <v>43465</v>
      </c>
      <c r="D1084" s="194">
        <v>40</v>
      </c>
      <c r="E1084" s="14">
        <v>0</v>
      </c>
      <c r="F1084" s="14">
        <v>7682.25</v>
      </c>
      <c r="G1084" s="14">
        <v>0</v>
      </c>
      <c r="H1084" s="58">
        <f t="shared" si="71"/>
        <v>7682.25</v>
      </c>
      <c r="I1084" s="58">
        <f t="shared" si="70"/>
        <v>7682.25</v>
      </c>
      <c r="J1084" s="126"/>
      <c r="K1084" s="81"/>
      <c r="L1084" s="208"/>
    </row>
    <row r="1085" spans="1:12" s="54" customFormat="1" ht="24" outlineLevel="1" x14ac:dyDescent="0.2">
      <c r="A1085" s="51" t="s">
        <v>1376</v>
      </c>
      <c r="B1085" s="103">
        <v>43281</v>
      </c>
      <c r="C1085" s="103">
        <v>43465</v>
      </c>
      <c r="D1085" s="194">
        <v>45</v>
      </c>
      <c r="E1085" s="14">
        <v>8230.17</v>
      </c>
      <c r="F1085" s="14"/>
      <c r="G1085" s="14"/>
      <c r="H1085" s="58">
        <f t="shared" si="71"/>
        <v>8230.17</v>
      </c>
      <c r="I1085" s="58">
        <f t="shared" si="70"/>
        <v>8230.17</v>
      </c>
      <c r="J1085" s="126"/>
      <c r="K1085" s="81"/>
      <c r="L1085" s="208"/>
    </row>
    <row r="1086" spans="1:12" s="54" customFormat="1" outlineLevel="1" x14ac:dyDescent="0.2">
      <c r="A1086" s="51" t="s">
        <v>1377</v>
      </c>
      <c r="B1086" s="103">
        <v>43281</v>
      </c>
      <c r="C1086" s="103">
        <v>43465</v>
      </c>
      <c r="D1086" s="194">
        <v>45</v>
      </c>
      <c r="E1086" s="14">
        <v>8811.0300000000007</v>
      </c>
      <c r="F1086" s="14"/>
      <c r="G1086" s="14"/>
      <c r="H1086" s="58">
        <f t="shared" si="71"/>
        <v>8811.0300000000007</v>
      </c>
      <c r="I1086" s="58">
        <f t="shared" si="70"/>
        <v>8811.0300000000007</v>
      </c>
      <c r="J1086" s="126"/>
      <c r="K1086" s="81"/>
      <c r="L1086" s="208"/>
    </row>
    <row r="1087" spans="1:12" s="54" customFormat="1" outlineLevel="1" x14ac:dyDescent="0.2">
      <c r="A1087" s="51" t="s">
        <v>1378</v>
      </c>
      <c r="B1087" s="103">
        <v>43251</v>
      </c>
      <c r="C1087" s="103">
        <v>43465</v>
      </c>
      <c r="D1087" s="194">
        <v>45</v>
      </c>
      <c r="E1087" s="14">
        <v>12713.26</v>
      </c>
      <c r="F1087" s="14"/>
      <c r="G1087" s="14"/>
      <c r="H1087" s="58">
        <f t="shared" si="71"/>
        <v>12713.26</v>
      </c>
      <c r="I1087" s="58">
        <f t="shared" si="70"/>
        <v>12713.26</v>
      </c>
      <c r="J1087" s="126"/>
      <c r="K1087" s="81"/>
      <c r="L1087" s="208"/>
    </row>
    <row r="1088" spans="1:12" s="54" customFormat="1" ht="24" outlineLevel="1" x14ac:dyDescent="0.2">
      <c r="A1088" s="22" t="s">
        <v>729</v>
      </c>
      <c r="B1088" s="104">
        <v>42908</v>
      </c>
      <c r="C1088" s="103">
        <v>43465</v>
      </c>
      <c r="D1088" s="194">
        <v>50</v>
      </c>
      <c r="E1088" s="14">
        <f>44579.62+6355</f>
        <v>50934.62</v>
      </c>
      <c r="F1088" s="14">
        <v>249948.12</v>
      </c>
      <c r="G1088" s="14"/>
      <c r="H1088" s="58">
        <f t="shared" si="71"/>
        <v>300882.74</v>
      </c>
      <c r="I1088" s="52">
        <f t="shared" si="70"/>
        <v>300882.74</v>
      </c>
      <c r="J1088" s="126"/>
      <c r="K1088" s="81"/>
      <c r="L1088" s="208"/>
    </row>
    <row r="1089" spans="1:12" s="54" customFormat="1" ht="24" outlineLevel="1" x14ac:dyDescent="0.2">
      <c r="A1089" s="93" t="s">
        <v>730</v>
      </c>
      <c r="B1089" s="103">
        <v>43115</v>
      </c>
      <c r="C1089" s="103">
        <v>43465</v>
      </c>
      <c r="D1089" s="194">
        <v>40</v>
      </c>
      <c r="E1089" s="14">
        <v>8096.62</v>
      </c>
      <c r="F1089" s="14">
        <v>3305.36</v>
      </c>
      <c r="G1089" s="14">
        <v>0</v>
      </c>
      <c r="H1089" s="58">
        <f t="shared" si="71"/>
        <v>11401.98</v>
      </c>
      <c r="I1089" s="58">
        <f t="shared" si="70"/>
        <v>11401.98</v>
      </c>
      <c r="J1089" s="126"/>
      <c r="K1089" s="81"/>
      <c r="L1089" s="208"/>
    </row>
    <row r="1090" spans="1:12" s="54" customFormat="1" ht="24" outlineLevel="1" x14ac:dyDescent="0.2">
      <c r="A1090" s="93" t="s">
        <v>731</v>
      </c>
      <c r="B1090" s="103">
        <v>43129</v>
      </c>
      <c r="C1090" s="103">
        <v>43465</v>
      </c>
      <c r="D1090" s="194">
        <v>40</v>
      </c>
      <c r="E1090" s="14">
        <v>8479.58</v>
      </c>
      <c r="F1090" s="14">
        <v>3305.36</v>
      </c>
      <c r="G1090" s="14">
        <v>0</v>
      </c>
      <c r="H1090" s="58">
        <f t="shared" si="71"/>
        <v>11784.94</v>
      </c>
      <c r="I1090" s="58">
        <f t="shared" si="70"/>
        <v>11784.94</v>
      </c>
      <c r="J1090" s="126"/>
      <c r="K1090" s="81"/>
      <c r="L1090" s="208"/>
    </row>
    <row r="1091" spans="1:12" s="54" customFormat="1" ht="24" outlineLevel="1" x14ac:dyDescent="0.2">
      <c r="A1091" s="51" t="s">
        <v>1379</v>
      </c>
      <c r="B1091" s="103">
        <v>43281</v>
      </c>
      <c r="C1091" s="103">
        <v>43465</v>
      </c>
      <c r="D1091" s="194">
        <v>45</v>
      </c>
      <c r="E1091" s="14">
        <v>9056.4699999999993</v>
      </c>
      <c r="F1091" s="14"/>
      <c r="G1091" s="14"/>
      <c r="H1091" s="58">
        <f t="shared" si="71"/>
        <v>9056.4699999999993</v>
      </c>
      <c r="I1091" s="58">
        <f t="shared" si="70"/>
        <v>9056.4699999999993</v>
      </c>
      <c r="J1091" s="126"/>
      <c r="K1091" s="81"/>
      <c r="L1091" s="208"/>
    </row>
    <row r="1092" spans="1:12" s="54" customFormat="1" ht="24" outlineLevel="1" x14ac:dyDescent="0.2">
      <c r="A1092" s="93" t="s">
        <v>732</v>
      </c>
      <c r="B1092" s="103">
        <v>43109</v>
      </c>
      <c r="C1092" s="103">
        <v>43465</v>
      </c>
      <c r="D1092" s="194">
        <v>40</v>
      </c>
      <c r="E1092" s="14">
        <v>0</v>
      </c>
      <c r="F1092" s="14">
        <v>11021.18</v>
      </c>
      <c r="G1092" s="14">
        <v>0</v>
      </c>
      <c r="H1092" s="58">
        <f t="shared" si="71"/>
        <v>11021.18</v>
      </c>
      <c r="I1092" s="58">
        <f t="shared" si="70"/>
        <v>11021.18</v>
      </c>
      <c r="J1092" s="126"/>
      <c r="K1092" s="81"/>
      <c r="L1092" s="208"/>
    </row>
    <row r="1093" spans="1:12" s="54" customFormat="1" ht="24" outlineLevel="1" x14ac:dyDescent="0.2">
      <c r="A1093" s="93" t="s">
        <v>733</v>
      </c>
      <c r="B1093" s="103">
        <v>42972</v>
      </c>
      <c r="C1093" s="103">
        <v>43465</v>
      </c>
      <c r="D1093" s="194">
        <v>30</v>
      </c>
      <c r="E1093" s="14">
        <v>0</v>
      </c>
      <c r="F1093" s="14">
        <v>6461.66</v>
      </c>
      <c r="G1093" s="14">
        <v>0</v>
      </c>
      <c r="H1093" s="58">
        <f t="shared" si="71"/>
        <v>6461.66</v>
      </c>
      <c r="I1093" s="58">
        <f t="shared" si="70"/>
        <v>6461.66</v>
      </c>
      <c r="J1093" s="126"/>
      <c r="K1093" s="81"/>
      <c r="L1093" s="208"/>
    </row>
    <row r="1094" spans="1:12" s="54" customFormat="1" ht="24" outlineLevel="1" x14ac:dyDescent="0.2">
      <c r="A1094" s="51" t="s">
        <v>1380</v>
      </c>
      <c r="B1094" s="103">
        <v>43251</v>
      </c>
      <c r="C1094" s="103">
        <v>43465</v>
      </c>
      <c r="D1094" s="194">
        <v>40</v>
      </c>
      <c r="E1094" s="14">
        <v>8183.57</v>
      </c>
      <c r="F1094" s="14">
        <v>28534.19</v>
      </c>
      <c r="G1094" s="14"/>
      <c r="H1094" s="58">
        <f t="shared" si="71"/>
        <v>36717.759999999995</v>
      </c>
      <c r="I1094" s="58">
        <f t="shared" si="70"/>
        <v>36717.759999999995</v>
      </c>
      <c r="J1094" s="126"/>
      <c r="K1094" s="81"/>
      <c r="L1094" s="208"/>
    </row>
    <row r="1095" spans="1:12" s="54" customFormat="1" ht="24" outlineLevel="1" x14ac:dyDescent="0.2">
      <c r="A1095" s="93" t="s">
        <v>734</v>
      </c>
      <c r="B1095" s="103">
        <v>43053</v>
      </c>
      <c r="C1095" s="103">
        <v>43465</v>
      </c>
      <c r="D1095" s="194">
        <v>60</v>
      </c>
      <c r="E1095" s="14">
        <v>0</v>
      </c>
      <c r="F1095" s="14">
        <v>2252.08</v>
      </c>
      <c r="G1095" s="14">
        <v>0</v>
      </c>
      <c r="H1095" s="58">
        <f t="shared" si="71"/>
        <v>2252.08</v>
      </c>
      <c r="I1095" s="58">
        <f t="shared" si="70"/>
        <v>2252.08</v>
      </c>
      <c r="J1095" s="126"/>
      <c r="K1095" s="81"/>
      <c r="L1095" s="208"/>
    </row>
    <row r="1096" spans="1:12" s="54" customFormat="1" ht="24" outlineLevel="1" x14ac:dyDescent="0.2">
      <c r="A1096" s="93" t="s">
        <v>735</v>
      </c>
      <c r="B1096" s="103"/>
      <c r="C1096" s="103">
        <v>43465</v>
      </c>
      <c r="D1096" s="194">
        <v>40</v>
      </c>
      <c r="E1096" s="14">
        <v>0</v>
      </c>
      <c r="F1096" s="14">
        <v>6540.01</v>
      </c>
      <c r="G1096" s="14">
        <v>0</v>
      </c>
      <c r="H1096" s="58">
        <f t="shared" si="71"/>
        <v>6540.01</v>
      </c>
      <c r="I1096" s="58">
        <f t="shared" si="70"/>
        <v>6540.01</v>
      </c>
      <c r="J1096" s="126"/>
      <c r="K1096" s="81"/>
      <c r="L1096" s="208"/>
    </row>
    <row r="1097" spans="1:12" s="54" customFormat="1" ht="24" outlineLevel="1" x14ac:dyDescent="0.2">
      <c r="A1097" s="93" t="s">
        <v>736</v>
      </c>
      <c r="B1097" s="103">
        <v>43032</v>
      </c>
      <c r="C1097" s="103">
        <v>43465</v>
      </c>
      <c r="D1097" s="194">
        <v>80</v>
      </c>
      <c r="E1097" s="14">
        <v>9175.06</v>
      </c>
      <c r="F1097" s="14">
        <v>27390.45</v>
      </c>
      <c r="G1097" s="14">
        <v>0</v>
      </c>
      <c r="H1097" s="58">
        <f t="shared" si="71"/>
        <v>36565.51</v>
      </c>
      <c r="I1097" s="58">
        <f t="shared" si="70"/>
        <v>36565.51</v>
      </c>
      <c r="J1097" s="126"/>
      <c r="K1097" s="81"/>
      <c r="L1097" s="208"/>
    </row>
    <row r="1098" spans="1:12" s="54" customFormat="1" ht="24" outlineLevel="1" x14ac:dyDescent="0.2">
      <c r="A1098" s="93" t="s">
        <v>737</v>
      </c>
      <c r="B1098" s="103">
        <v>42712</v>
      </c>
      <c r="C1098" s="103">
        <v>43465</v>
      </c>
      <c r="D1098" s="194">
        <v>50</v>
      </c>
      <c r="E1098" s="14">
        <v>0</v>
      </c>
      <c r="F1098" s="14">
        <v>88635.6</v>
      </c>
      <c r="G1098" s="14">
        <v>0</v>
      </c>
      <c r="H1098" s="58">
        <f t="shared" si="71"/>
        <v>88635.6</v>
      </c>
      <c r="I1098" s="58">
        <f t="shared" si="70"/>
        <v>88635.6</v>
      </c>
      <c r="J1098" s="126"/>
      <c r="K1098" s="81"/>
      <c r="L1098" s="208"/>
    </row>
    <row r="1099" spans="1:12" s="54" customFormat="1" ht="24" outlineLevel="1" x14ac:dyDescent="0.2">
      <c r="A1099" s="51" t="s">
        <v>1381</v>
      </c>
      <c r="B1099" s="103">
        <v>43220</v>
      </c>
      <c r="C1099" s="103">
        <v>43465</v>
      </c>
      <c r="D1099" s="194">
        <v>40</v>
      </c>
      <c r="E1099" s="14">
        <v>11130.39</v>
      </c>
      <c r="F1099" s="14"/>
      <c r="G1099" s="14"/>
      <c r="H1099" s="58">
        <f t="shared" si="71"/>
        <v>11130.39</v>
      </c>
      <c r="I1099" s="58">
        <f t="shared" si="70"/>
        <v>11130.39</v>
      </c>
      <c r="J1099" s="126"/>
      <c r="K1099" s="81"/>
      <c r="L1099" s="208"/>
    </row>
    <row r="1100" spans="1:12" s="54" customFormat="1" outlineLevel="1" x14ac:dyDescent="0.2">
      <c r="A1100" s="51" t="s">
        <v>1382</v>
      </c>
      <c r="B1100" s="103">
        <v>43251</v>
      </c>
      <c r="C1100" s="103">
        <v>43465</v>
      </c>
      <c r="D1100" s="194">
        <v>40</v>
      </c>
      <c r="E1100" s="14">
        <v>20586.849999999999</v>
      </c>
      <c r="F1100" s="14"/>
      <c r="G1100" s="14"/>
      <c r="H1100" s="58">
        <f t="shared" si="71"/>
        <v>20586.849999999999</v>
      </c>
      <c r="I1100" s="58">
        <f t="shared" si="70"/>
        <v>20586.849999999999</v>
      </c>
      <c r="J1100" s="126"/>
      <c r="K1100" s="81"/>
      <c r="L1100" s="208"/>
    </row>
    <row r="1101" spans="1:12" s="54" customFormat="1" ht="24" outlineLevel="1" x14ac:dyDescent="0.2">
      <c r="A1101" s="22" t="s">
        <v>738</v>
      </c>
      <c r="B1101" s="104">
        <v>43069</v>
      </c>
      <c r="C1101" s="103">
        <v>43465</v>
      </c>
      <c r="D1101" s="194">
        <v>40</v>
      </c>
      <c r="E1101" s="14">
        <v>14026.02</v>
      </c>
      <c r="F1101" s="14"/>
      <c r="G1101" s="14"/>
      <c r="H1101" s="58">
        <f t="shared" si="71"/>
        <v>14026.02</v>
      </c>
      <c r="I1101" s="52">
        <f t="shared" si="70"/>
        <v>14026.02</v>
      </c>
      <c r="J1101" s="126"/>
      <c r="K1101" s="81"/>
      <c r="L1101" s="208"/>
    </row>
    <row r="1102" spans="1:12" s="54" customFormat="1" ht="24" outlineLevel="1" x14ac:dyDescent="0.2">
      <c r="A1102" s="93" t="s">
        <v>739</v>
      </c>
      <c r="B1102" s="103">
        <v>42649</v>
      </c>
      <c r="C1102" s="103">
        <v>43465</v>
      </c>
      <c r="D1102" s="194">
        <v>50</v>
      </c>
      <c r="E1102" s="14">
        <v>0</v>
      </c>
      <c r="F1102" s="14">
        <v>21091</v>
      </c>
      <c r="G1102" s="14">
        <v>0</v>
      </c>
      <c r="H1102" s="58">
        <f t="shared" si="71"/>
        <v>21091</v>
      </c>
      <c r="I1102" s="58">
        <f t="shared" si="70"/>
        <v>21091</v>
      </c>
      <c r="J1102" s="126"/>
      <c r="K1102" s="81"/>
      <c r="L1102" s="208"/>
    </row>
    <row r="1103" spans="1:12" s="54" customFormat="1" outlineLevel="1" x14ac:dyDescent="0.2">
      <c r="A1103" s="93" t="s">
        <v>740</v>
      </c>
      <c r="B1103" s="103">
        <v>43007</v>
      </c>
      <c r="C1103" s="103">
        <v>43465</v>
      </c>
      <c r="D1103" s="194">
        <v>60</v>
      </c>
      <c r="E1103" s="14">
        <v>0</v>
      </c>
      <c r="F1103" s="14">
        <v>2825.44</v>
      </c>
      <c r="G1103" s="14">
        <v>0</v>
      </c>
      <c r="H1103" s="58">
        <f t="shared" si="71"/>
        <v>2825.44</v>
      </c>
      <c r="I1103" s="58">
        <f t="shared" si="70"/>
        <v>2825.44</v>
      </c>
      <c r="J1103" s="126"/>
      <c r="K1103" s="81"/>
      <c r="L1103" s="208"/>
    </row>
    <row r="1104" spans="1:12" s="54" customFormat="1" ht="24" outlineLevel="1" x14ac:dyDescent="0.2">
      <c r="A1104" s="51" t="s">
        <v>1383</v>
      </c>
      <c r="B1104" s="103">
        <v>43251</v>
      </c>
      <c r="C1104" s="103">
        <v>43465</v>
      </c>
      <c r="D1104" s="194">
        <v>40</v>
      </c>
      <c r="E1104" s="14">
        <v>28251.97</v>
      </c>
      <c r="F1104" s="14"/>
      <c r="G1104" s="14"/>
      <c r="H1104" s="58">
        <f t="shared" si="71"/>
        <v>28251.97</v>
      </c>
      <c r="I1104" s="58">
        <f t="shared" si="70"/>
        <v>28251.97</v>
      </c>
      <c r="J1104" s="126"/>
      <c r="K1104" s="81"/>
      <c r="L1104" s="208"/>
    </row>
    <row r="1105" spans="1:12" s="54" customFormat="1" outlineLevel="1" x14ac:dyDescent="0.2">
      <c r="A1105" s="93" t="s">
        <v>741</v>
      </c>
      <c r="B1105" s="103">
        <v>43068</v>
      </c>
      <c r="C1105" s="103">
        <v>43465</v>
      </c>
      <c r="D1105" s="194">
        <v>40</v>
      </c>
      <c r="E1105" s="14">
        <v>6540.01</v>
      </c>
      <c r="F1105" s="14">
        <v>39857.68</v>
      </c>
      <c r="G1105" s="14">
        <v>0</v>
      </c>
      <c r="H1105" s="58">
        <f t="shared" si="71"/>
        <v>46397.69</v>
      </c>
      <c r="I1105" s="58">
        <f t="shared" si="70"/>
        <v>46397.69</v>
      </c>
      <c r="J1105" s="126"/>
      <c r="K1105" s="81"/>
      <c r="L1105" s="208"/>
    </row>
    <row r="1106" spans="1:12" s="54" customFormat="1" outlineLevel="1" x14ac:dyDescent="0.2">
      <c r="A1106" s="93" t="s">
        <v>742</v>
      </c>
      <c r="B1106" s="103">
        <v>43077</v>
      </c>
      <c r="C1106" s="103">
        <v>43465</v>
      </c>
      <c r="D1106" s="194">
        <v>40</v>
      </c>
      <c r="E1106" s="14">
        <v>4683.8999999999996</v>
      </c>
      <c r="F1106" s="14">
        <v>9041.56</v>
      </c>
      <c r="G1106" s="14">
        <v>0</v>
      </c>
      <c r="H1106" s="58">
        <f t="shared" si="71"/>
        <v>13725.46</v>
      </c>
      <c r="I1106" s="58">
        <f t="shared" si="70"/>
        <v>13725.46</v>
      </c>
      <c r="J1106" s="126"/>
      <c r="K1106" s="81"/>
      <c r="L1106" s="208"/>
    </row>
    <row r="1107" spans="1:12" s="54" customFormat="1" outlineLevel="1" x14ac:dyDescent="0.2">
      <c r="A1107" s="93" t="s">
        <v>743</v>
      </c>
      <c r="B1107" s="103">
        <v>43041</v>
      </c>
      <c r="C1107" s="103">
        <v>43465</v>
      </c>
      <c r="D1107" s="194">
        <v>40</v>
      </c>
      <c r="E1107" s="14">
        <v>36324.370000000003</v>
      </c>
      <c r="F1107" s="14">
        <f>11652.97+1574.13</f>
        <v>13227.099999999999</v>
      </c>
      <c r="G1107" s="14">
        <v>0</v>
      </c>
      <c r="H1107" s="58">
        <f t="shared" si="71"/>
        <v>49551.47</v>
      </c>
      <c r="I1107" s="58">
        <f t="shared" si="70"/>
        <v>49551.47</v>
      </c>
      <c r="J1107" s="126"/>
      <c r="K1107" s="81"/>
      <c r="L1107" s="208"/>
    </row>
    <row r="1108" spans="1:12" s="54" customFormat="1" ht="24" outlineLevel="1" x14ac:dyDescent="0.2">
      <c r="A1108" s="22" t="s">
        <v>818</v>
      </c>
      <c r="B1108" s="104">
        <v>42781</v>
      </c>
      <c r="C1108" s="103">
        <v>43465</v>
      </c>
      <c r="D1108" s="194">
        <v>40</v>
      </c>
      <c r="E1108" s="14">
        <f>17969.26+1302</f>
        <v>19271.259999999998</v>
      </c>
      <c r="F1108" s="14">
        <v>104843.83</v>
      </c>
      <c r="G1108" s="14"/>
      <c r="H1108" s="58">
        <f t="shared" si="71"/>
        <v>124115.09</v>
      </c>
      <c r="I1108" s="52">
        <f t="shared" si="70"/>
        <v>124115.09</v>
      </c>
      <c r="J1108" s="126"/>
      <c r="K1108" s="81"/>
      <c r="L1108" s="208"/>
    </row>
    <row r="1109" spans="1:12" s="54" customFormat="1" outlineLevel="1" x14ac:dyDescent="0.2">
      <c r="A1109" s="93" t="s">
        <v>744</v>
      </c>
      <c r="B1109" s="103">
        <v>43032</v>
      </c>
      <c r="C1109" s="103">
        <v>43465</v>
      </c>
      <c r="D1109" s="194">
        <v>45</v>
      </c>
      <c r="E1109" s="14">
        <v>11669.42</v>
      </c>
      <c r="F1109" s="14">
        <v>159122.68</v>
      </c>
      <c r="G1109" s="14">
        <v>0</v>
      </c>
      <c r="H1109" s="58">
        <f t="shared" si="71"/>
        <v>170792.1</v>
      </c>
      <c r="I1109" s="58">
        <f t="shared" si="70"/>
        <v>170792.1</v>
      </c>
      <c r="J1109" s="126"/>
      <c r="K1109" s="81"/>
      <c r="L1109" s="208"/>
    </row>
    <row r="1110" spans="1:12" s="54" customFormat="1" outlineLevel="1" x14ac:dyDescent="0.2">
      <c r="A1110" s="93" t="s">
        <v>745</v>
      </c>
      <c r="B1110" s="103">
        <v>43031</v>
      </c>
      <c r="C1110" s="103">
        <v>43465</v>
      </c>
      <c r="D1110" s="194">
        <v>30</v>
      </c>
      <c r="E1110" s="14">
        <v>0</v>
      </c>
      <c r="F1110" s="14">
        <f>8680.09+47260.74</f>
        <v>55940.83</v>
      </c>
      <c r="G1110" s="14">
        <v>0</v>
      </c>
      <c r="H1110" s="58">
        <f t="shared" si="71"/>
        <v>55940.83</v>
      </c>
      <c r="I1110" s="58">
        <f t="shared" si="70"/>
        <v>55940.83</v>
      </c>
      <c r="J1110" s="126"/>
      <c r="K1110" s="81"/>
      <c r="L1110" s="208"/>
    </row>
    <row r="1111" spans="1:12" s="54" customFormat="1" ht="24" outlineLevel="1" x14ac:dyDescent="0.2">
      <c r="A1111" s="93" t="s">
        <v>746</v>
      </c>
      <c r="B1111" s="103">
        <v>42688</v>
      </c>
      <c r="C1111" s="103">
        <v>43465</v>
      </c>
      <c r="D1111" s="194">
        <v>30</v>
      </c>
      <c r="E1111" s="14">
        <v>8515.73</v>
      </c>
      <c r="F1111" s="14">
        <v>8544.94</v>
      </c>
      <c r="G1111" s="14">
        <v>0</v>
      </c>
      <c r="H1111" s="58">
        <f t="shared" si="71"/>
        <v>17060.669999999998</v>
      </c>
      <c r="I1111" s="58">
        <f t="shared" si="70"/>
        <v>17060.669999999998</v>
      </c>
      <c r="J1111" s="126"/>
      <c r="K1111" s="81"/>
      <c r="L1111" s="208"/>
    </row>
    <row r="1112" spans="1:12" s="54" customFormat="1" ht="24" outlineLevel="1" x14ac:dyDescent="0.2">
      <c r="A1112" s="93" t="s">
        <v>747</v>
      </c>
      <c r="B1112" s="103">
        <v>42732</v>
      </c>
      <c r="C1112" s="103">
        <v>43124</v>
      </c>
      <c r="D1112" s="194">
        <v>90</v>
      </c>
      <c r="E1112" s="14">
        <v>220713.66</v>
      </c>
      <c r="F1112" s="14">
        <f>36308.9+173029.16</f>
        <v>209338.06</v>
      </c>
      <c r="G1112" s="14">
        <v>0</v>
      </c>
      <c r="H1112" s="58">
        <f t="shared" si="71"/>
        <v>430051.72</v>
      </c>
      <c r="I1112" s="58">
        <f t="shared" si="70"/>
        <v>430051.72</v>
      </c>
      <c r="J1112" s="126"/>
      <c r="K1112" s="81"/>
      <c r="L1112" s="208"/>
    </row>
    <row r="1113" spans="1:12" s="54" customFormat="1" ht="24" outlineLevel="1" x14ac:dyDescent="0.2">
      <c r="A1113" s="93" t="s">
        <v>748</v>
      </c>
      <c r="B1113" s="103">
        <v>42970</v>
      </c>
      <c r="C1113" s="103">
        <v>43465</v>
      </c>
      <c r="D1113" s="194">
        <v>40</v>
      </c>
      <c r="E1113" s="14">
        <v>27433.79</v>
      </c>
      <c r="F1113" s="14">
        <v>53713.74</v>
      </c>
      <c r="G1113" s="14">
        <v>0</v>
      </c>
      <c r="H1113" s="58">
        <f t="shared" si="71"/>
        <v>81147.53</v>
      </c>
      <c r="I1113" s="58">
        <f t="shared" si="70"/>
        <v>81147.53</v>
      </c>
      <c r="J1113" s="126"/>
      <c r="K1113" s="81"/>
      <c r="L1113" s="208"/>
    </row>
    <row r="1114" spans="1:12" s="54" customFormat="1" ht="24" outlineLevel="1" x14ac:dyDescent="0.2">
      <c r="A1114" s="93" t="s">
        <v>749</v>
      </c>
      <c r="B1114" s="103">
        <v>43026</v>
      </c>
      <c r="C1114" s="103">
        <v>43174</v>
      </c>
      <c r="D1114" s="194">
        <v>90</v>
      </c>
      <c r="E1114" s="14">
        <v>71436.78</v>
      </c>
      <c r="F1114" s="14">
        <v>34540.89</v>
      </c>
      <c r="G1114" s="14">
        <v>0</v>
      </c>
      <c r="H1114" s="58">
        <f t="shared" si="71"/>
        <v>105977.67</v>
      </c>
      <c r="I1114" s="58">
        <f t="shared" si="70"/>
        <v>105977.67</v>
      </c>
      <c r="J1114" s="126"/>
      <c r="K1114" s="81"/>
      <c r="L1114" s="208"/>
    </row>
    <row r="1115" spans="1:12" s="54" customFormat="1" ht="24" outlineLevel="1" x14ac:dyDescent="0.2">
      <c r="A1115" s="22" t="s">
        <v>819</v>
      </c>
      <c r="B1115" s="104">
        <v>42440</v>
      </c>
      <c r="C1115" s="103">
        <v>43465</v>
      </c>
      <c r="D1115" s="194">
        <v>68</v>
      </c>
      <c r="E1115" s="14"/>
      <c r="F1115" s="14">
        <v>192699.69</v>
      </c>
      <c r="G1115" s="14"/>
      <c r="H1115" s="58">
        <f t="shared" si="71"/>
        <v>192699.69</v>
      </c>
      <c r="I1115" s="52">
        <f t="shared" si="70"/>
        <v>192699.69</v>
      </c>
      <c r="J1115" s="126"/>
      <c r="K1115" s="81"/>
      <c r="L1115" s="208"/>
    </row>
    <row r="1116" spans="1:12" s="54" customFormat="1" ht="24" outlineLevel="1" x14ac:dyDescent="0.2">
      <c r="A1116" s="93" t="s">
        <v>750</v>
      </c>
      <c r="B1116" s="103">
        <v>42985</v>
      </c>
      <c r="C1116" s="103">
        <v>43465</v>
      </c>
      <c r="D1116" s="194">
        <v>40</v>
      </c>
      <c r="E1116" s="14">
        <v>0</v>
      </c>
      <c r="F1116" s="14">
        <v>16401.330000000002</v>
      </c>
      <c r="G1116" s="14">
        <v>0</v>
      </c>
      <c r="H1116" s="58">
        <f t="shared" si="71"/>
        <v>16401.330000000002</v>
      </c>
      <c r="I1116" s="58">
        <f t="shared" si="70"/>
        <v>16401.330000000002</v>
      </c>
      <c r="J1116" s="126"/>
      <c r="K1116" s="81"/>
      <c r="L1116" s="208"/>
    </row>
    <row r="1117" spans="1:12" s="54" customFormat="1" ht="24" outlineLevel="1" x14ac:dyDescent="0.2">
      <c r="A1117" s="93" t="s">
        <v>751</v>
      </c>
      <c r="B1117" s="103">
        <v>42712</v>
      </c>
      <c r="C1117" s="103">
        <v>43094</v>
      </c>
      <c r="D1117" s="194">
        <v>90</v>
      </c>
      <c r="E1117" s="14">
        <v>48209.62</v>
      </c>
      <c r="F1117" s="14">
        <v>17276.04</v>
      </c>
      <c r="G1117" s="14">
        <v>0</v>
      </c>
      <c r="H1117" s="58">
        <f t="shared" si="71"/>
        <v>65485.66</v>
      </c>
      <c r="I1117" s="58">
        <f t="shared" si="70"/>
        <v>65485.66</v>
      </c>
      <c r="J1117" s="126"/>
      <c r="K1117" s="81"/>
      <c r="L1117" s="208"/>
    </row>
    <row r="1118" spans="1:12" s="54" customFormat="1" outlineLevel="1" x14ac:dyDescent="0.2">
      <c r="A1118" s="93" t="s">
        <v>752</v>
      </c>
      <c r="B1118" s="103">
        <v>43118</v>
      </c>
      <c r="C1118" s="103">
        <v>43465</v>
      </c>
      <c r="D1118" s="194">
        <v>30</v>
      </c>
      <c r="E1118" s="14">
        <v>0</v>
      </c>
      <c r="F1118" s="14">
        <v>7809.05</v>
      </c>
      <c r="G1118" s="14">
        <v>0</v>
      </c>
      <c r="H1118" s="58">
        <f t="shared" si="71"/>
        <v>7809.05</v>
      </c>
      <c r="I1118" s="58">
        <f t="shared" ref="I1118:I1195" si="72">H1118</f>
        <v>7809.05</v>
      </c>
      <c r="J1118" s="126"/>
      <c r="K1118" s="81"/>
      <c r="L1118" s="208"/>
    </row>
    <row r="1119" spans="1:12" s="54" customFormat="1" ht="24" outlineLevel="1" x14ac:dyDescent="0.2">
      <c r="A1119" s="93" t="s">
        <v>753</v>
      </c>
      <c r="B1119" s="103">
        <v>42494</v>
      </c>
      <c r="C1119" s="103">
        <v>43465</v>
      </c>
      <c r="D1119" s="194">
        <v>50</v>
      </c>
      <c r="E1119" s="14">
        <v>6355</v>
      </c>
      <c r="F1119" s="14">
        <v>5762.06</v>
      </c>
      <c r="G1119" s="14">
        <v>0</v>
      </c>
      <c r="H1119" s="58">
        <f t="shared" si="71"/>
        <v>12117.060000000001</v>
      </c>
      <c r="I1119" s="58">
        <f t="shared" si="72"/>
        <v>12117.060000000001</v>
      </c>
      <c r="J1119" s="126"/>
      <c r="K1119" s="81"/>
      <c r="L1119" s="208"/>
    </row>
    <row r="1120" spans="1:12" s="54" customFormat="1" ht="24" outlineLevel="1" x14ac:dyDescent="0.2">
      <c r="A1120" s="51" t="s">
        <v>1384</v>
      </c>
      <c r="B1120" s="103">
        <v>43281</v>
      </c>
      <c r="C1120" s="103">
        <v>43465</v>
      </c>
      <c r="D1120" s="194">
        <v>40</v>
      </c>
      <c r="E1120" s="14">
        <v>6631.97</v>
      </c>
      <c r="F1120" s="14"/>
      <c r="G1120" s="14"/>
      <c r="H1120" s="58">
        <f t="shared" si="71"/>
        <v>6631.97</v>
      </c>
      <c r="I1120" s="58">
        <f t="shared" si="72"/>
        <v>6631.97</v>
      </c>
      <c r="J1120" s="126"/>
      <c r="K1120" s="81"/>
      <c r="L1120" s="208"/>
    </row>
    <row r="1121" spans="1:12" s="54" customFormat="1" ht="24" outlineLevel="1" x14ac:dyDescent="0.2">
      <c r="A1121" s="51" t="s">
        <v>1385</v>
      </c>
      <c r="B1121" s="103">
        <v>43251</v>
      </c>
      <c r="C1121" s="103">
        <v>43465</v>
      </c>
      <c r="D1121" s="194">
        <v>40</v>
      </c>
      <c r="E1121" s="14">
        <v>9916.07</v>
      </c>
      <c r="F1121" s="14"/>
      <c r="G1121" s="14"/>
      <c r="H1121" s="58">
        <f t="shared" si="71"/>
        <v>9916.07</v>
      </c>
      <c r="I1121" s="58">
        <f t="shared" si="72"/>
        <v>9916.07</v>
      </c>
      <c r="J1121" s="126"/>
      <c r="K1121" s="81"/>
      <c r="L1121" s="208"/>
    </row>
    <row r="1122" spans="1:12" s="54" customFormat="1" ht="24" outlineLevel="1" x14ac:dyDescent="0.2">
      <c r="A1122" s="93" t="s">
        <v>754</v>
      </c>
      <c r="B1122" s="103">
        <v>43028</v>
      </c>
      <c r="C1122" s="103">
        <v>43465</v>
      </c>
      <c r="D1122" s="194">
        <v>60</v>
      </c>
      <c r="E1122" s="14">
        <v>0</v>
      </c>
      <c r="F1122" s="14">
        <v>7067.09</v>
      </c>
      <c r="G1122" s="14">
        <v>0</v>
      </c>
      <c r="H1122" s="58">
        <f t="shared" si="71"/>
        <v>7067.09</v>
      </c>
      <c r="I1122" s="58">
        <f t="shared" si="72"/>
        <v>7067.09</v>
      </c>
      <c r="J1122" s="126"/>
      <c r="K1122" s="81"/>
      <c r="L1122" s="208"/>
    </row>
    <row r="1123" spans="1:12" s="54" customFormat="1" outlineLevel="1" x14ac:dyDescent="0.2">
      <c r="A1123" s="93" t="s">
        <v>755</v>
      </c>
      <c r="B1123" s="103">
        <v>43048</v>
      </c>
      <c r="C1123" s="103">
        <v>43465</v>
      </c>
      <c r="D1123" s="194">
        <v>60</v>
      </c>
      <c r="E1123" s="14">
        <v>0</v>
      </c>
      <c r="F1123" s="14">
        <v>8792.09</v>
      </c>
      <c r="G1123" s="14">
        <v>0</v>
      </c>
      <c r="H1123" s="58">
        <f t="shared" si="71"/>
        <v>8792.09</v>
      </c>
      <c r="I1123" s="58">
        <f t="shared" si="72"/>
        <v>8792.09</v>
      </c>
      <c r="J1123" s="126"/>
      <c r="K1123" s="81"/>
      <c r="L1123" s="208"/>
    </row>
    <row r="1124" spans="1:12" s="54" customFormat="1" ht="24" outlineLevel="1" x14ac:dyDescent="0.2">
      <c r="A1124" s="22" t="s">
        <v>756</v>
      </c>
      <c r="B1124" s="104">
        <v>42828</v>
      </c>
      <c r="C1124" s="103">
        <v>43465</v>
      </c>
      <c r="D1124" s="194">
        <v>90</v>
      </c>
      <c r="E1124" s="14">
        <f>1550.46+17553.33</f>
        <v>19103.79</v>
      </c>
      <c r="F1124" s="14">
        <v>34181.01</v>
      </c>
      <c r="G1124" s="14"/>
      <c r="H1124" s="58">
        <f t="shared" si="71"/>
        <v>53284.800000000003</v>
      </c>
      <c r="I1124" s="52">
        <f t="shared" si="72"/>
        <v>53284.800000000003</v>
      </c>
      <c r="J1124" s="126"/>
      <c r="K1124" s="81"/>
      <c r="L1124" s="208"/>
    </row>
    <row r="1125" spans="1:12" s="54" customFormat="1" ht="24" outlineLevel="1" x14ac:dyDescent="0.2">
      <c r="A1125" s="93" t="s">
        <v>757</v>
      </c>
      <c r="B1125" s="103">
        <v>43007</v>
      </c>
      <c r="C1125" s="103">
        <v>43465</v>
      </c>
      <c r="D1125" s="194">
        <v>50</v>
      </c>
      <c r="E1125" s="14">
        <v>22400</v>
      </c>
      <c r="F1125" s="14">
        <f>17209.73+208566.43</f>
        <v>225776.16</v>
      </c>
      <c r="G1125" s="14">
        <v>0</v>
      </c>
      <c r="H1125" s="58">
        <f t="shared" si="71"/>
        <v>248176.16</v>
      </c>
      <c r="I1125" s="58">
        <f t="shared" si="72"/>
        <v>248176.16</v>
      </c>
      <c r="J1125" s="126"/>
      <c r="K1125" s="81"/>
      <c r="L1125" s="208"/>
    </row>
    <row r="1126" spans="1:12" s="54" customFormat="1" ht="24" outlineLevel="1" x14ac:dyDescent="0.2">
      <c r="A1126" s="93" t="s">
        <v>758</v>
      </c>
      <c r="B1126" s="103">
        <v>42920</v>
      </c>
      <c r="C1126" s="103">
        <v>43465</v>
      </c>
      <c r="D1126" s="194">
        <v>30</v>
      </c>
      <c r="E1126" s="14">
        <v>0</v>
      </c>
      <c r="F1126" s="14">
        <v>15642.1</v>
      </c>
      <c r="G1126" s="14">
        <v>0</v>
      </c>
      <c r="H1126" s="58">
        <f t="shared" si="71"/>
        <v>15642.1</v>
      </c>
      <c r="I1126" s="58">
        <f t="shared" si="72"/>
        <v>15642.1</v>
      </c>
      <c r="J1126" s="126"/>
      <c r="K1126" s="81"/>
      <c r="L1126" s="208"/>
    </row>
    <row r="1127" spans="1:12" s="54" customFormat="1" outlineLevel="1" x14ac:dyDescent="0.2">
      <c r="A1127" s="51" t="s">
        <v>1386</v>
      </c>
      <c r="B1127" s="103">
        <v>43220</v>
      </c>
      <c r="C1127" s="103">
        <v>43465</v>
      </c>
      <c r="D1127" s="194">
        <v>40</v>
      </c>
      <c r="E1127" s="14">
        <v>30115.39</v>
      </c>
      <c r="F1127" s="14"/>
      <c r="G1127" s="14"/>
      <c r="H1127" s="58">
        <f t="shared" si="71"/>
        <v>30115.39</v>
      </c>
      <c r="I1127" s="58">
        <f t="shared" si="72"/>
        <v>30115.39</v>
      </c>
      <c r="J1127" s="126"/>
      <c r="K1127" s="81"/>
      <c r="L1127" s="208"/>
    </row>
    <row r="1128" spans="1:12" s="54" customFormat="1" outlineLevel="1" x14ac:dyDescent="0.2">
      <c r="A1128" s="93" t="s">
        <v>759</v>
      </c>
      <c r="B1128" s="103">
        <v>43011</v>
      </c>
      <c r="C1128" s="103">
        <v>43465</v>
      </c>
      <c r="D1128" s="194">
        <v>40</v>
      </c>
      <c r="E1128" s="14">
        <v>0</v>
      </c>
      <c r="F1128" s="14">
        <v>25407.79</v>
      </c>
      <c r="G1128" s="14">
        <v>0</v>
      </c>
      <c r="H1128" s="58">
        <f t="shared" si="71"/>
        <v>25407.79</v>
      </c>
      <c r="I1128" s="58">
        <f t="shared" si="72"/>
        <v>25407.79</v>
      </c>
      <c r="J1128" s="126"/>
      <c r="K1128" s="81"/>
      <c r="L1128" s="208"/>
    </row>
    <row r="1129" spans="1:12" s="54" customFormat="1" outlineLevel="1" x14ac:dyDescent="0.2">
      <c r="A1129" s="93" t="s">
        <v>760</v>
      </c>
      <c r="B1129" s="103">
        <v>43138</v>
      </c>
      <c r="C1129" s="103">
        <v>43465</v>
      </c>
      <c r="D1129" s="194">
        <v>40</v>
      </c>
      <c r="E1129" s="14">
        <v>8479.58</v>
      </c>
      <c r="F1129" s="14">
        <f>3305.36+32193.82</f>
        <v>35499.18</v>
      </c>
      <c r="G1129" s="14">
        <v>0</v>
      </c>
      <c r="H1129" s="58">
        <f t="shared" si="71"/>
        <v>43978.76</v>
      </c>
      <c r="I1129" s="58">
        <f t="shared" si="72"/>
        <v>43978.76</v>
      </c>
      <c r="J1129" s="126"/>
      <c r="K1129" s="81"/>
      <c r="L1129" s="208"/>
    </row>
    <row r="1130" spans="1:12" s="54" customFormat="1" ht="24" outlineLevel="1" x14ac:dyDescent="0.2">
      <c r="A1130" s="22" t="s">
        <v>820</v>
      </c>
      <c r="B1130" s="103">
        <v>42713</v>
      </c>
      <c r="C1130" s="103">
        <v>43465</v>
      </c>
      <c r="D1130" s="194">
        <v>40</v>
      </c>
      <c r="E1130" s="14">
        <v>7085</v>
      </c>
      <c r="F1130" s="14"/>
      <c r="G1130" s="14"/>
      <c r="H1130" s="58">
        <f t="shared" si="71"/>
        <v>7085</v>
      </c>
      <c r="I1130" s="52">
        <f t="shared" si="72"/>
        <v>7085</v>
      </c>
      <c r="J1130" s="126"/>
      <c r="K1130" s="81"/>
      <c r="L1130" s="208"/>
    </row>
    <row r="1131" spans="1:12" s="54" customFormat="1" ht="24" outlineLevel="1" x14ac:dyDescent="0.2">
      <c r="A1131" s="93" t="s">
        <v>761</v>
      </c>
      <c r="B1131" s="103">
        <v>42676</v>
      </c>
      <c r="C1131" s="103">
        <v>43465</v>
      </c>
      <c r="D1131" s="194">
        <v>50</v>
      </c>
      <c r="E1131" s="14">
        <v>10166.85</v>
      </c>
      <c r="F1131" s="14">
        <f>10310.56+136.89</f>
        <v>10447.449999999999</v>
      </c>
      <c r="G1131" s="14">
        <v>0</v>
      </c>
      <c r="H1131" s="58">
        <f t="shared" si="71"/>
        <v>20614.3</v>
      </c>
      <c r="I1131" s="58">
        <f t="shared" si="72"/>
        <v>20614.3</v>
      </c>
      <c r="J1131" s="126"/>
      <c r="K1131" s="81"/>
      <c r="L1131" s="208"/>
    </row>
    <row r="1132" spans="1:12" s="54" customFormat="1" ht="24" outlineLevel="1" x14ac:dyDescent="0.2">
      <c r="A1132" s="51" t="s">
        <v>1387</v>
      </c>
      <c r="B1132" s="103">
        <v>43251</v>
      </c>
      <c r="C1132" s="103">
        <v>43465</v>
      </c>
      <c r="D1132" s="194">
        <v>50</v>
      </c>
      <c r="E1132" s="14">
        <v>18482.830000000002</v>
      </c>
      <c r="F1132" s="14"/>
      <c r="G1132" s="14"/>
      <c r="H1132" s="58">
        <f t="shared" si="71"/>
        <v>18482.830000000002</v>
      </c>
      <c r="I1132" s="58">
        <f t="shared" si="72"/>
        <v>18482.830000000002</v>
      </c>
      <c r="J1132" s="126"/>
      <c r="K1132" s="81"/>
      <c r="L1132" s="208"/>
    </row>
    <row r="1133" spans="1:12" s="54" customFormat="1" ht="24" outlineLevel="1" x14ac:dyDescent="0.2">
      <c r="A1133" s="93" t="s">
        <v>762</v>
      </c>
      <c r="B1133" s="103">
        <v>43251</v>
      </c>
      <c r="C1133" s="103">
        <v>43465</v>
      </c>
      <c r="D1133" s="194">
        <v>50</v>
      </c>
      <c r="E1133" s="14">
        <v>5278.35</v>
      </c>
      <c r="F1133" s="14">
        <f>14685.75+51271.35</f>
        <v>65957.100000000006</v>
      </c>
      <c r="G1133" s="14">
        <v>0</v>
      </c>
      <c r="H1133" s="58">
        <f t="shared" si="71"/>
        <v>71235.450000000012</v>
      </c>
      <c r="I1133" s="58">
        <f t="shared" si="72"/>
        <v>71235.450000000012</v>
      </c>
      <c r="J1133" s="126"/>
      <c r="K1133" s="81"/>
      <c r="L1133" s="208"/>
    </row>
    <row r="1134" spans="1:12" s="54" customFormat="1" ht="24" outlineLevel="1" x14ac:dyDescent="0.2">
      <c r="A1134" s="93" t="s">
        <v>763</v>
      </c>
      <c r="B1134" s="103">
        <v>42993</v>
      </c>
      <c r="C1134" s="103">
        <v>43465</v>
      </c>
      <c r="D1134" s="194">
        <v>90</v>
      </c>
      <c r="E1134" s="14">
        <v>16555.849999999999</v>
      </c>
      <c r="F1134" s="14">
        <f>16697.01+14747.38</f>
        <v>31444.39</v>
      </c>
      <c r="G1134" s="14">
        <v>0</v>
      </c>
      <c r="H1134" s="58">
        <f t="shared" si="71"/>
        <v>48000.24</v>
      </c>
      <c r="I1134" s="58">
        <f t="shared" si="72"/>
        <v>48000.24</v>
      </c>
      <c r="J1134" s="126"/>
      <c r="K1134" s="81"/>
      <c r="L1134" s="208"/>
    </row>
    <row r="1135" spans="1:12" s="54" customFormat="1" ht="24" outlineLevel="1" x14ac:dyDescent="0.2">
      <c r="A1135" s="51" t="s">
        <v>1388</v>
      </c>
      <c r="B1135" s="103">
        <v>43251</v>
      </c>
      <c r="C1135" s="103">
        <v>43465</v>
      </c>
      <c r="D1135" s="194">
        <v>40</v>
      </c>
      <c r="E1135" s="14">
        <v>4895.53</v>
      </c>
      <c r="F1135" s="14"/>
      <c r="G1135" s="14"/>
      <c r="H1135" s="58">
        <f t="shared" si="71"/>
        <v>4895.53</v>
      </c>
      <c r="I1135" s="58">
        <f t="shared" si="72"/>
        <v>4895.53</v>
      </c>
      <c r="J1135" s="126"/>
      <c r="K1135" s="81"/>
      <c r="L1135" s="208"/>
    </row>
    <row r="1136" spans="1:12" s="54" customFormat="1" outlineLevel="1" x14ac:dyDescent="0.2">
      <c r="A1136" s="93" t="s">
        <v>764</v>
      </c>
      <c r="B1136" s="103">
        <v>43004</v>
      </c>
      <c r="C1136" s="103">
        <v>43465</v>
      </c>
      <c r="D1136" s="194">
        <v>50</v>
      </c>
      <c r="E1136" s="14">
        <v>0</v>
      </c>
      <c r="F1136" s="14">
        <v>2252.08</v>
      </c>
      <c r="G1136" s="14">
        <v>0</v>
      </c>
      <c r="H1136" s="58">
        <f t="shared" si="71"/>
        <v>2252.08</v>
      </c>
      <c r="I1136" s="58">
        <f>H1136</f>
        <v>2252.08</v>
      </c>
      <c r="J1136" s="126"/>
      <c r="K1136" s="81"/>
      <c r="L1136" s="208"/>
    </row>
    <row r="1137" spans="1:12" s="54" customFormat="1" outlineLevel="1" x14ac:dyDescent="0.2">
      <c r="A1137" s="51" t="s">
        <v>1389</v>
      </c>
      <c r="B1137" s="103">
        <v>43220</v>
      </c>
      <c r="C1137" s="103">
        <v>43465</v>
      </c>
      <c r="D1137" s="194">
        <v>40</v>
      </c>
      <c r="E1137" s="14">
        <v>14775.97</v>
      </c>
      <c r="F1137" s="14"/>
      <c r="G1137" s="14"/>
      <c r="H1137" s="58">
        <f t="shared" si="71"/>
        <v>14775.97</v>
      </c>
      <c r="I1137" s="58">
        <f>H1137</f>
        <v>14775.97</v>
      </c>
      <c r="J1137" s="126"/>
      <c r="K1137" s="81"/>
      <c r="L1137" s="208"/>
    </row>
    <row r="1138" spans="1:12" s="54" customFormat="1" ht="24" outlineLevel="1" x14ac:dyDescent="0.2">
      <c r="A1138" s="22" t="s">
        <v>765</v>
      </c>
      <c r="B1138" s="104">
        <v>42807</v>
      </c>
      <c r="C1138" s="103">
        <v>43465</v>
      </c>
      <c r="D1138" s="194">
        <v>40</v>
      </c>
      <c r="E1138" s="14">
        <v>13129.14</v>
      </c>
      <c r="F1138" s="14">
        <v>33262.730000000003</v>
      </c>
      <c r="G1138" s="14">
        <v>39331.35</v>
      </c>
      <c r="H1138" s="58">
        <f t="shared" si="71"/>
        <v>85723.22</v>
      </c>
      <c r="I1138" s="52">
        <f t="shared" si="72"/>
        <v>85723.22</v>
      </c>
      <c r="J1138" s="126"/>
      <c r="K1138" s="81"/>
      <c r="L1138" s="208"/>
    </row>
    <row r="1139" spans="1:12" s="54" customFormat="1" outlineLevel="1" x14ac:dyDescent="0.2">
      <c r="A1139" s="51" t="s">
        <v>1390</v>
      </c>
      <c r="B1139" s="104">
        <v>43220</v>
      </c>
      <c r="C1139" s="103">
        <v>43465</v>
      </c>
      <c r="D1139" s="194">
        <v>40</v>
      </c>
      <c r="E1139" s="14">
        <v>5093.2299999999996</v>
      </c>
      <c r="F1139" s="14"/>
      <c r="G1139" s="14"/>
      <c r="H1139" s="58">
        <f t="shared" si="71"/>
        <v>5093.2299999999996</v>
      </c>
      <c r="I1139" s="52">
        <f t="shared" si="72"/>
        <v>5093.2299999999996</v>
      </c>
      <c r="J1139" s="126"/>
      <c r="K1139" s="81"/>
      <c r="L1139" s="208"/>
    </row>
    <row r="1140" spans="1:12" s="54" customFormat="1" ht="24" outlineLevel="1" x14ac:dyDescent="0.2">
      <c r="A1140" s="93" t="s">
        <v>766</v>
      </c>
      <c r="B1140" s="103">
        <v>43251</v>
      </c>
      <c r="C1140" s="103">
        <v>43465</v>
      </c>
      <c r="D1140" s="194">
        <v>40</v>
      </c>
      <c r="E1140" s="14">
        <f>13024.2+1633.94</f>
        <v>14658.140000000001</v>
      </c>
      <c r="F1140" s="14">
        <f>6573.06+1007.45</f>
        <v>7580.51</v>
      </c>
      <c r="G1140" s="14">
        <v>0</v>
      </c>
      <c r="H1140" s="58">
        <f t="shared" si="71"/>
        <v>22238.65</v>
      </c>
      <c r="I1140" s="58">
        <f t="shared" si="72"/>
        <v>22238.65</v>
      </c>
      <c r="J1140" s="126"/>
      <c r="K1140" s="81"/>
      <c r="L1140" s="208"/>
    </row>
    <row r="1141" spans="1:12" s="54" customFormat="1" ht="24" outlineLevel="1" x14ac:dyDescent="0.2">
      <c r="A1141" s="22" t="s">
        <v>821</v>
      </c>
      <c r="B1141" s="104">
        <v>42807</v>
      </c>
      <c r="C1141" s="103">
        <v>43465</v>
      </c>
      <c r="D1141" s="194">
        <v>40</v>
      </c>
      <c r="E1141" s="14">
        <v>40524.26</v>
      </c>
      <c r="F1141" s="14"/>
      <c r="G1141" s="14"/>
      <c r="H1141" s="58">
        <f t="shared" si="71"/>
        <v>40524.26</v>
      </c>
      <c r="I1141" s="52">
        <f t="shared" si="72"/>
        <v>40524.26</v>
      </c>
      <c r="J1141" s="126"/>
      <c r="K1141" s="81"/>
      <c r="L1141" s="208"/>
    </row>
    <row r="1142" spans="1:12" s="54" customFormat="1" outlineLevel="1" x14ac:dyDescent="0.2">
      <c r="A1142" s="93" t="s">
        <v>767</v>
      </c>
      <c r="B1142" s="103">
        <v>42978</v>
      </c>
      <c r="C1142" s="103">
        <v>43465</v>
      </c>
      <c r="D1142" s="194">
        <v>30</v>
      </c>
      <c r="E1142" s="14">
        <v>0</v>
      </c>
      <c r="F1142" s="14">
        <v>2252.08</v>
      </c>
      <c r="G1142" s="14">
        <v>0</v>
      </c>
      <c r="H1142" s="58">
        <f t="shared" si="71"/>
        <v>2252.08</v>
      </c>
      <c r="I1142" s="58">
        <f t="shared" si="72"/>
        <v>2252.08</v>
      </c>
      <c r="J1142" s="126"/>
      <c r="K1142" s="81"/>
      <c r="L1142" s="208"/>
    </row>
    <row r="1143" spans="1:12" s="54" customFormat="1" ht="24" outlineLevel="1" x14ac:dyDescent="0.2">
      <c r="A1143" s="51" t="s">
        <v>1391</v>
      </c>
      <c r="B1143" s="103">
        <v>43220</v>
      </c>
      <c r="C1143" s="103">
        <v>43465</v>
      </c>
      <c r="D1143" s="194">
        <v>40</v>
      </c>
      <c r="E1143" s="14">
        <v>11784.94</v>
      </c>
      <c r="F1143" s="14">
        <v>35701.279999999999</v>
      </c>
      <c r="G1143" s="14"/>
      <c r="H1143" s="58">
        <f t="shared" si="71"/>
        <v>47486.22</v>
      </c>
      <c r="I1143" s="58">
        <f t="shared" si="72"/>
        <v>47486.22</v>
      </c>
      <c r="J1143" s="126"/>
      <c r="K1143" s="81"/>
      <c r="L1143" s="208"/>
    </row>
    <row r="1144" spans="1:12" s="54" customFormat="1" outlineLevel="1" x14ac:dyDescent="0.2">
      <c r="A1144" s="51" t="s">
        <v>1407</v>
      </c>
      <c r="B1144" s="103" t="s">
        <v>1408</v>
      </c>
      <c r="C1144" s="103">
        <v>43465</v>
      </c>
      <c r="D1144" s="194">
        <v>40</v>
      </c>
      <c r="E1144" s="14">
        <v>14674.06</v>
      </c>
      <c r="F1144" s="14"/>
      <c r="G1144" s="14"/>
      <c r="H1144" s="58">
        <f t="shared" si="71"/>
        <v>14674.06</v>
      </c>
      <c r="I1144" s="58">
        <f t="shared" si="72"/>
        <v>14674.06</v>
      </c>
      <c r="J1144" s="126"/>
      <c r="K1144" s="81"/>
      <c r="L1144" s="208"/>
    </row>
    <row r="1145" spans="1:12" s="54" customFormat="1" ht="24" outlineLevel="1" x14ac:dyDescent="0.2">
      <c r="A1145" s="93" t="s">
        <v>768</v>
      </c>
      <c r="B1145" s="103">
        <v>42929</v>
      </c>
      <c r="C1145" s="103">
        <v>43465</v>
      </c>
      <c r="D1145" s="194">
        <v>50</v>
      </c>
      <c r="E1145" s="14">
        <v>0</v>
      </c>
      <c r="F1145" s="14">
        <v>9180.44</v>
      </c>
      <c r="G1145" s="14">
        <v>0</v>
      </c>
      <c r="H1145" s="58">
        <f t="shared" si="71"/>
        <v>9180.44</v>
      </c>
      <c r="I1145" s="58">
        <f t="shared" si="72"/>
        <v>9180.44</v>
      </c>
      <c r="J1145" s="126"/>
      <c r="K1145" s="81"/>
      <c r="L1145" s="208"/>
    </row>
    <row r="1146" spans="1:12" s="54" customFormat="1" ht="24" outlineLevel="1" x14ac:dyDescent="0.2">
      <c r="A1146" s="93" t="s">
        <v>769</v>
      </c>
      <c r="B1146" s="103">
        <v>42975</v>
      </c>
      <c r="C1146" s="103">
        <v>43465</v>
      </c>
      <c r="D1146" s="194">
        <v>40</v>
      </c>
      <c r="E1146" s="14">
        <v>0</v>
      </c>
      <c r="F1146" s="14">
        <v>13251.02</v>
      </c>
      <c r="G1146" s="14">
        <v>0</v>
      </c>
      <c r="H1146" s="58">
        <f t="shared" si="71"/>
        <v>13251.02</v>
      </c>
      <c r="I1146" s="58">
        <f t="shared" si="72"/>
        <v>13251.02</v>
      </c>
      <c r="J1146" s="126"/>
      <c r="K1146" s="81"/>
      <c r="L1146" s="208"/>
    </row>
    <row r="1147" spans="1:12" s="54" customFormat="1" outlineLevel="1" x14ac:dyDescent="0.2">
      <c r="A1147" s="51" t="s">
        <v>1392</v>
      </c>
      <c r="B1147" s="103">
        <v>43281</v>
      </c>
      <c r="C1147" s="103">
        <v>43465</v>
      </c>
      <c r="D1147" s="194">
        <v>40</v>
      </c>
      <c r="E1147" s="14">
        <v>13532.71</v>
      </c>
      <c r="F1147" s="14"/>
      <c r="G1147" s="14"/>
      <c r="H1147" s="58">
        <f t="shared" ref="H1147:H1196" si="73">E1147+F1147+G1147</f>
        <v>13532.71</v>
      </c>
      <c r="I1147" s="58">
        <f t="shared" si="72"/>
        <v>13532.71</v>
      </c>
      <c r="J1147" s="126"/>
      <c r="K1147" s="81"/>
      <c r="L1147" s="208"/>
    </row>
    <row r="1148" spans="1:12" s="54" customFormat="1" ht="24" outlineLevel="1" x14ac:dyDescent="0.2">
      <c r="A1148" s="93" t="s">
        <v>770</v>
      </c>
      <c r="B1148" s="103">
        <v>43070</v>
      </c>
      <c r="C1148" s="103">
        <v>43465</v>
      </c>
      <c r="D1148" s="194">
        <v>50</v>
      </c>
      <c r="E1148" s="14">
        <v>41569.120000000003</v>
      </c>
      <c r="F1148" s="14">
        <f>11652.97+1543.97</f>
        <v>13196.939999999999</v>
      </c>
      <c r="G1148" s="14">
        <v>0</v>
      </c>
      <c r="H1148" s="58">
        <f t="shared" si="73"/>
        <v>54766.06</v>
      </c>
      <c r="I1148" s="58">
        <f t="shared" si="72"/>
        <v>54766.06</v>
      </c>
      <c r="J1148" s="126"/>
      <c r="K1148" s="81"/>
      <c r="L1148" s="208"/>
    </row>
    <row r="1149" spans="1:12" s="54" customFormat="1" ht="24" outlineLevel="1" x14ac:dyDescent="0.2">
      <c r="A1149" s="93" t="s">
        <v>771</v>
      </c>
      <c r="B1149" s="103">
        <v>42976</v>
      </c>
      <c r="C1149" s="103">
        <v>43465</v>
      </c>
      <c r="D1149" s="194">
        <v>50</v>
      </c>
      <c r="E1149" s="14">
        <v>0</v>
      </c>
      <c r="F1149" s="14">
        <v>13612.44</v>
      </c>
      <c r="G1149" s="14">
        <v>0</v>
      </c>
      <c r="H1149" s="58">
        <f t="shared" si="73"/>
        <v>13612.44</v>
      </c>
      <c r="I1149" s="58">
        <f t="shared" si="72"/>
        <v>13612.44</v>
      </c>
      <c r="J1149" s="126"/>
      <c r="K1149" s="81"/>
      <c r="L1149" s="208"/>
    </row>
    <row r="1150" spans="1:12" s="54" customFormat="1" outlineLevel="1" x14ac:dyDescent="0.2">
      <c r="A1150" s="51" t="s">
        <v>1393</v>
      </c>
      <c r="B1150" s="103">
        <v>43281</v>
      </c>
      <c r="C1150" s="103">
        <v>43465</v>
      </c>
      <c r="D1150" s="194">
        <v>40</v>
      </c>
      <c r="E1150" s="14">
        <v>11257</v>
      </c>
      <c r="F1150" s="14"/>
      <c r="G1150" s="14"/>
      <c r="H1150" s="58">
        <f t="shared" si="73"/>
        <v>11257</v>
      </c>
      <c r="I1150" s="58">
        <f t="shared" si="72"/>
        <v>11257</v>
      </c>
      <c r="J1150" s="126"/>
      <c r="K1150" s="81"/>
      <c r="L1150" s="208"/>
    </row>
    <row r="1151" spans="1:12" s="54" customFormat="1" ht="24" outlineLevel="1" x14ac:dyDescent="0.2">
      <c r="A1151" s="93" t="s">
        <v>772</v>
      </c>
      <c r="B1151" s="103">
        <v>42853</v>
      </c>
      <c r="C1151" s="103">
        <v>43465</v>
      </c>
      <c r="D1151" s="194">
        <v>90</v>
      </c>
      <c r="E1151" s="14">
        <v>5720.62</v>
      </c>
      <c r="F1151" s="14">
        <v>11908.92</v>
      </c>
      <c r="G1151" s="14">
        <v>0</v>
      </c>
      <c r="H1151" s="58">
        <f t="shared" si="73"/>
        <v>17629.54</v>
      </c>
      <c r="I1151" s="58">
        <f t="shared" si="72"/>
        <v>17629.54</v>
      </c>
      <c r="J1151" s="126"/>
      <c r="K1151" s="81"/>
      <c r="L1151" s="208"/>
    </row>
    <row r="1152" spans="1:12" s="54" customFormat="1" ht="24" outlineLevel="1" x14ac:dyDescent="0.2">
      <c r="A1152" s="93" t="s">
        <v>773</v>
      </c>
      <c r="B1152" s="103">
        <v>42872</v>
      </c>
      <c r="C1152" s="103">
        <v>43465</v>
      </c>
      <c r="D1152" s="194">
        <v>20</v>
      </c>
      <c r="E1152" s="14">
        <v>17427.48</v>
      </c>
      <c r="F1152" s="14">
        <v>309100.53999999998</v>
      </c>
      <c r="G1152" s="14">
        <v>0</v>
      </c>
      <c r="H1152" s="58">
        <f t="shared" si="73"/>
        <v>326528.01999999996</v>
      </c>
      <c r="I1152" s="58">
        <f t="shared" si="72"/>
        <v>326528.01999999996</v>
      </c>
      <c r="J1152" s="126"/>
      <c r="K1152" s="81"/>
      <c r="L1152" s="208"/>
    </row>
    <row r="1153" spans="1:12" s="54" customFormat="1" ht="24" outlineLevel="1" x14ac:dyDescent="0.2">
      <c r="A1153" s="22" t="s">
        <v>822</v>
      </c>
      <c r="B1153" s="103">
        <v>42696</v>
      </c>
      <c r="C1153" s="103">
        <v>43465</v>
      </c>
      <c r="D1153" s="194">
        <v>40</v>
      </c>
      <c r="E1153" s="14">
        <v>10444.33</v>
      </c>
      <c r="F1153" s="14"/>
      <c r="G1153" s="14"/>
      <c r="H1153" s="58">
        <f t="shared" si="73"/>
        <v>10444.33</v>
      </c>
      <c r="I1153" s="52">
        <f t="shared" si="72"/>
        <v>10444.33</v>
      </c>
      <c r="J1153" s="126"/>
      <c r="K1153" s="81"/>
      <c r="L1153" s="208"/>
    </row>
    <row r="1154" spans="1:12" s="54" customFormat="1" outlineLevel="1" x14ac:dyDescent="0.2">
      <c r="A1154" s="93" t="s">
        <v>774</v>
      </c>
      <c r="B1154" s="103">
        <v>43046</v>
      </c>
      <c r="C1154" s="103">
        <v>43465</v>
      </c>
      <c r="D1154" s="194">
        <v>40</v>
      </c>
      <c r="E1154" s="14">
        <v>24985.68</v>
      </c>
      <c r="F1154" s="14">
        <v>12895.01</v>
      </c>
      <c r="G1154" s="14">
        <v>0</v>
      </c>
      <c r="H1154" s="58">
        <f t="shared" si="73"/>
        <v>37880.69</v>
      </c>
      <c r="I1154" s="58">
        <f t="shared" si="72"/>
        <v>37880.69</v>
      </c>
      <c r="J1154" s="126"/>
      <c r="K1154" s="81"/>
      <c r="L1154" s="208"/>
    </row>
    <row r="1155" spans="1:12" s="54" customFormat="1" outlineLevel="1" x14ac:dyDescent="0.2">
      <c r="A1155" s="93" t="s">
        <v>775</v>
      </c>
      <c r="B1155" s="103">
        <v>43082</v>
      </c>
      <c r="C1155" s="103">
        <v>43465</v>
      </c>
      <c r="D1155" s="194">
        <v>40</v>
      </c>
      <c r="E1155" s="14">
        <v>0</v>
      </c>
      <c r="F1155" s="14">
        <v>11779.5</v>
      </c>
      <c r="G1155" s="14">
        <v>0</v>
      </c>
      <c r="H1155" s="58">
        <f t="shared" si="73"/>
        <v>11779.5</v>
      </c>
      <c r="I1155" s="58">
        <f t="shared" si="72"/>
        <v>11779.5</v>
      </c>
      <c r="J1155" s="126"/>
      <c r="K1155" s="81"/>
      <c r="L1155" s="208"/>
    </row>
    <row r="1156" spans="1:12" s="54" customFormat="1" ht="24" outlineLevel="1" x14ac:dyDescent="0.2">
      <c r="A1156" s="93" t="s">
        <v>776</v>
      </c>
      <c r="B1156" s="103">
        <v>42408</v>
      </c>
      <c r="C1156" s="103">
        <v>43465</v>
      </c>
      <c r="D1156" s="194">
        <v>90</v>
      </c>
      <c r="E1156" s="14">
        <v>0</v>
      </c>
      <c r="F1156" s="14">
        <v>2825.44</v>
      </c>
      <c r="G1156" s="14">
        <v>0</v>
      </c>
      <c r="H1156" s="58">
        <f t="shared" si="73"/>
        <v>2825.44</v>
      </c>
      <c r="I1156" s="58">
        <f t="shared" si="72"/>
        <v>2825.44</v>
      </c>
      <c r="J1156" s="126"/>
      <c r="K1156" s="81"/>
      <c r="L1156" s="208"/>
    </row>
    <row r="1157" spans="1:12" s="54" customFormat="1" ht="24" outlineLevel="1" x14ac:dyDescent="0.2">
      <c r="A1157" s="93" t="s">
        <v>777</v>
      </c>
      <c r="B1157" s="103">
        <v>43024</v>
      </c>
      <c r="C1157" s="103">
        <v>43465</v>
      </c>
      <c r="D1157" s="194">
        <v>40</v>
      </c>
      <c r="E1157" s="14">
        <v>17480.89</v>
      </c>
      <c r="F1157" s="14">
        <v>277348.05</v>
      </c>
      <c r="G1157" s="14">
        <v>0</v>
      </c>
      <c r="H1157" s="58">
        <f t="shared" si="73"/>
        <v>294828.94</v>
      </c>
      <c r="I1157" s="58">
        <f t="shared" si="72"/>
        <v>294828.94</v>
      </c>
      <c r="J1157" s="126"/>
      <c r="K1157" s="81"/>
      <c r="L1157" s="208"/>
    </row>
    <row r="1158" spans="1:12" s="54" customFormat="1" ht="24" outlineLevel="1" x14ac:dyDescent="0.2">
      <c r="A1158" s="93" t="s">
        <v>778</v>
      </c>
      <c r="B1158" s="103">
        <v>42626</v>
      </c>
      <c r="C1158" s="103">
        <v>43465</v>
      </c>
      <c r="D1158" s="194">
        <v>50</v>
      </c>
      <c r="E1158" s="14">
        <v>0</v>
      </c>
      <c r="F1158" s="14">
        <v>12871.4</v>
      </c>
      <c r="G1158" s="14">
        <v>0</v>
      </c>
      <c r="H1158" s="58">
        <f t="shared" si="73"/>
        <v>12871.4</v>
      </c>
      <c r="I1158" s="58">
        <f t="shared" si="72"/>
        <v>12871.4</v>
      </c>
      <c r="J1158" s="126"/>
      <c r="K1158" s="81"/>
      <c r="L1158" s="208"/>
    </row>
    <row r="1159" spans="1:12" s="54" customFormat="1" outlineLevel="1" x14ac:dyDescent="0.2">
      <c r="A1159" s="93" t="s">
        <v>779</v>
      </c>
      <c r="B1159" s="103">
        <v>43042</v>
      </c>
      <c r="C1159" s="103">
        <v>43465</v>
      </c>
      <c r="D1159" s="194">
        <v>40</v>
      </c>
      <c r="E1159" s="14">
        <v>8792.09</v>
      </c>
      <c r="F1159" s="14">
        <v>28406.67</v>
      </c>
      <c r="G1159" s="14">
        <v>0</v>
      </c>
      <c r="H1159" s="58">
        <f t="shared" si="73"/>
        <v>37198.759999999995</v>
      </c>
      <c r="I1159" s="58">
        <f t="shared" si="72"/>
        <v>37198.759999999995</v>
      </c>
      <c r="J1159" s="126"/>
      <c r="K1159" s="81"/>
      <c r="L1159" s="208"/>
    </row>
    <row r="1160" spans="1:12" s="54" customFormat="1" ht="24" outlineLevel="1" x14ac:dyDescent="0.2">
      <c r="A1160" s="93" t="s">
        <v>780</v>
      </c>
      <c r="B1160" s="103">
        <v>43031</v>
      </c>
      <c r="C1160" s="103">
        <v>43465</v>
      </c>
      <c r="D1160" s="194">
        <v>40</v>
      </c>
      <c r="E1160" s="14">
        <v>0</v>
      </c>
      <c r="F1160" s="14">
        <v>11779.5</v>
      </c>
      <c r="G1160" s="14">
        <v>0</v>
      </c>
      <c r="H1160" s="58">
        <f t="shared" si="73"/>
        <v>11779.5</v>
      </c>
      <c r="I1160" s="58">
        <f t="shared" si="72"/>
        <v>11779.5</v>
      </c>
      <c r="J1160" s="126"/>
      <c r="K1160" s="81"/>
      <c r="L1160" s="208"/>
    </row>
    <row r="1161" spans="1:12" s="54" customFormat="1" ht="24" outlineLevel="1" x14ac:dyDescent="0.2">
      <c r="A1161" s="93" t="s">
        <v>781</v>
      </c>
      <c r="B1161" s="103">
        <v>42390</v>
      </c>
      <c r="C1161" s="103">
        <v>43465</v>
      </c>
      <c r="D1161" s="194">
        <v>50</v>
      </c>
      <c r="E1161" s="14">
        <f>128430.68+13978.19</f>
        <v>142408.87</v>
      </c>
      <c r="F1161" s="14">
        <f>8701.24+13549.05-4366.32</f>
        <v>17883.97</v>
      </c>
      <c r="G1161" s="14">
        <v>0</v>
      </c>
      <c r="H1161" s="58">
        <f t="shared" si="73"/>
        <v>160292.84</v>
      </c>
      <c r="I1161" s="58">
        <f t="shared" si="72"/>
        <v>160292.84</v>
      </c>
      <c r="J1161" s="126"/>
      <c r="K1161" s="81"/>
      <c r="L1161" s="208"/>
    </row>
    <row r="1162" spans="1:12" s="54" customFormat="1" ht="24" outlineLevel="1" x14ac:dyDescent="0.2">
      <c r="A1162" s="93" t="s">
        <v>782</v>
      </c>
      <c r="B1162" s="103">
        <v>42549</v>
      </c>
      <c r="C1162" s="103">
        <v>43465</v>
      </c>
      <c r="D1162" s="194">
        <v>50</v>
      </c>
      <c r="E1162" s="14">
        <v>0</v>
      </c>
      <c r="F1162" s="14">
        <v>14301.56</v>
      </c>
      <c r="G1162" s="14">
        <v>0</v>
      </c>
      <c r="H1162" s="58">
        <f t="shared" si="73"/>
        <v>14301.56</v>
      </c>
      <c r="I1162" s="58">
        <f t="shared" si="72"/>
        <v>14301.56</v>
      </c>
      <c r="J1162" s="126"/>
      <c r="K1162" s="81"/>
      <c r="L1162" s="208"/>
    </row>
    <row r="1163" spans="1:12" s="54" customFormat="1" ht="24" outlineLevel="1" x14ac:dyDescent="0.2">
      <c r="A1163" s="22" t="s">
        <v>823</v>
      </c>
      <c r="B1163" s="103">
        <v>42605</v>
      </c>
      <c r="C1163" s="103">
        <v>43465</v>
      </c>
      <c r="D1163" s="194">
        <v>40</v>
      </c>
      <c r="E1163" s="14">
        <v>60588</v>
      </c>
      <c r="F1163" s="14">
        <v>147661.53</v>
      </c>
      <c r="G1163" s="14"/>
      <c r="H1163" s="58">
        <f t="shared" si="73"/>
        <v>208249.53</v>
      </c>
      <c r="I1163" s="52">
        <f t="shared" si="72"/>
        <v>208249.53</v>
      </c>
      <c r="J1163" s="126"/>
      <c r="K1163" s="81"/>
      <c r="L1163" s="208"/>
    </row>
    <row r="1164" spans="1:12" s="54" customFormat="1" ht="24" outlineLevel="1" x14ac:dyDescent="0.2">
      <c r="A1164" s="22" t="s">
        <v>824</v>
      </c>
      <c r="B1164" s="104">
        <v>42403</v>
      </c>
      <c r="C1164" s="103">
        <v>43190</v>
      </c>
      <c r="D1164" s="194">
        <v>93</v>
      </c>
      <c r="E1164" s="14"/>
      <c r="F1164" s="14">
        <v>1007.45</v>
      </c>
      <c r="G1164" s="14"/>
      <c r="H1164" s="58">
        <f t="shared" si="73"/>
        <v>1007.45</v>
      </c>
      <c r="I1164" s="52">
        <f t="shared" si="72"/>
        <v>1007.45</v>
      </c>
      <c r="J1164" s="126"/>
      <c r="K1164" s="81"/>
      <c r="L1164" s="208"/>
    </row>
    <row r="1165" spans="1:12" s="54" customFormat="1" outlineLevel="1" x14ac:dyDescent="0.2">
      <c r="A1165" s="51" t="s">
        <v>1394</v>
      </c>
      <c r="B1165" s="104">
        <v>43281</v>
      </c>
      <c r="C1165" s="103">
        <v>43465</v>
      </c>
      <c r="D1165" s="194">
        <v>40</v>
      </c>
      <c r="E1165" s="14">
        <v>4926.05</v>
      </c>
      <c r="F1165" s="14"/>
      <c r="G1165" s="14"/>
      <c r="H1165" s="58">
        <f t="shared" si="73"/>
        <v>4926.05</v>
      </c>
      <c r="I1165" s="52">
        <f t="shared" si="72"/>
        <v>4926.05</v>
      </c>
      <c r="J1165" s="126"/>
      <c r="K1165" s="81"/>
      <c r="L1165" s="208"/>
    </row>
    <row r="1166" spans="1:12" s="54" customFormat="1" ht="24" outlineLevel="1" x14ac:dyDescent="0.2">
      <c r="A1166" s="93" t="s">
        <v>783</v>
      </c>
      <c r="B1166" s="103">
        <v>42929</v>
      </c>
      <c r="C1166" s="103">
        <v>43465</v>
      </c>
      <c r="D1166" s="194">
        <v>50</v>
      </c>
      <c r="E1166" s="14">
        <f>52128.76+1972.99</f>
        <v>54101.75</v>
      </c>
      <c r="F1166" s="14">
        <f>16319.69+41110.37</f>
        <v>57430.060000000005</v>
      </c>
      <c r="G1166" s="14">
        <v>0</v>
      </c>
      <c r="H1166" s="58">
        <f t="shared" si="73"/>
        <v>111531.81</v>
      </c>
      <c r="I1166" s="58">
        <f t="shared" si="72"/>
        <v>111531.81</v>
      </c>
      <c r="J1166" s="126"/>
      <c r="K1166" s="81"/>
      <c r="L1166" s="208"/>
    </row>
    <row r="1167" spans="1:12" s="54" customFormat="1" ht="24" outlineLevel="1" x14ac:dyDescent="0.2">
      <c r="A1167" s="93" t="s">
        <v>784</v>
      </c>
      <c r="B1167" s="103">
        <v>43006</v>
      </c>
      <c r="C1167" s="103">
        <v>43465</v>
      </c>
      <c r="D1167" s="194">
        <v>40</v>
      </c>
      <c r="E1167" s="14">
        <v>7715.82</v>
      </c>
      <c r="F1167" s="14">
        <v>119542</v>
      </c>
      <c r="G1167" s="14">
        <v>0</v>
      </c>
      <c r="H1167" s="58">
        <f t="shared" si="73"/>
        <v>127257.82</v>
      </c>
      <c r="I1167" s="58">
        <f t="shared" si="72"/>
        <v>127257.82</v>
      </c>
      <c r="J1167" s="126"/>
      <c r="K1167" s="81"/>
      <c r="L1167" s="208"/>
    </row>
    <row r="1168" spans="1:12" s="54" customFormat="1" ht="24" outlineLevel="1" x14ac:dyDescent="0.2">
      <c r="A1168" s="51" t="s">
        <v>1395</v>
      </c>
      <c r="B1168" s="103">
        <v>43251</v>
      </c>
      <c r="C1168" s="103">
        <v>43465</v>
      </c>
      <c r="D1168" s="194">
        <v>40</v>
      </c>
      <c r="E1168" s="14">
        <v>17344.23</v>
      </c>
      <c r="F1168" s="14"/>
      <c r="G1168" s="14"/>
      <c r="H1168" s="58">
        <f t="shared" si="73"/>
        <v>17344.23</v>
      </c>
      <c r="I1168" s="58">
        <f t="shared" si="72"/>
        <v>17344.23</v>
      </c>
      <c r="J1168" s="126"/>
      <c r="K1168" s="81"/>
      <c r="L1168" s="208"/>
    </row>
    <row r="1169" spans="1:12" s="54" customFormat="1" ht="24" outlineLevel="1" x14ac:dyDescent="0.2">
      <c r="A1169" s="93" t="s">
        <v>785</v>
      </c>
      <c r="B1169" s="103">
        <v>43028</v>
      </c>
      <c r="C1169" s="103">
        <v>43465</v>
      </c>
      <c r="D1169" s="194">
        <v>40</v>
      </c>
      <c r="E1169" s="14">
        <v>28484.91</v>
      </c>
      <c r="F1169" s="14">
        <v>9767.02</v>
      </c>
      <c r="G1169" s="14">
        <v>0</v>
      </c>
      <c r="H1169" s="58">
        <f t="shared" si="73"/>
        <v>38251.93</v>
      </c>
      <c r="I1169" s="58">
        <f t="shared" si="72"/>
        <v>38251.93</v>
      </c>
      <c r="J1169" s="126"/>
      <c r="K1169" s="81"/>
      <c r="L1169" s="208"/>
    </row>
    <row r="1170" spans="1:12" s="54" customFormat="1" ht="24" outlineLevel="1" x14ac:dyDescent="0.2">
      <c r="A1170" s="22" t="s">
        <v>825</v>
      </c>
      <c r="B1170" s="104">
        <v>42807</v>
      </c>
      <c r="C1170" s="103">
        <v>43465</v>
      </c>
      <c r="D1170" s="194">
        <v>40</v>
      </c>
      <c r="E1170" s="14">
        <v>10524.26</v>
      </c>
      <c r="F1170" s="14"/>
      <c r="G1170" s="14"/>
      <c r="H1170" s="58">
        <f t="shared" si="73"/>
        <v>10524.26</v>
      </c>
      <c r="I1170" s="52">
        <f t="shared" si="72"/>
        <v>10524.26</v>
      </c>
      <c r="J1170" s="126"/>
      <c r="K1170" s="81"/>
      <c r="L1170" s="208"/>
    </row>
    <row r="1171" spans="1:12" s="54" customFormat="1" ht="24" outlineLevel="1" x14ac:dyDescent="0.2">
      <c r="A1171" s="93" t="s">
        <v>786</v>
      </c>
      <c r="B1171" s="103">
        <v>42993</v>
      </c>
      <c r="C1171" s="103">
        <v>43465</v>
      </c>
      <c r="D1171" s="194">
        <v>30</v>
      </c>
      <c r="E1171" s="14">
        <v>84593.77</v>
      </c>
      <c r="F1171" s="14">
        <v>19165.21</v>
      </c>
      <c r="G1171" s="14">
        <v>0</v>
      </c>
      <c r="H1171" s="58">
        <f t="shared" si="73"/>
        <v>103758.98000000001</v>
      </c>
      <c r="I1171" s="58">
        <f t="shared" si="72"/>
        <v>103758.98000000001</v>
      </c>
      <c r="J1171" s="126"/>
      <c r="K1171" s="81"/>
      <c r="L1171" s="208"/>
    </row>
    <row r="1172" spans="1:12" s="54" customFormat="1" outlineLevel="1" x14ac:dyDescent="0.2">
      <c r="A1172" s="51" t="s">
        <v>1396</v>
      </c>
      <c r="B1172" s="103">
        <v>43281</v>
      </c>
      <c r="C1172" s="103">
        <v>43465</v>
      </c>
      <c r="D1172" s="194">
        <v>40</v>
      </c>
      <c r="E1172" s="14">
        <v>8488.2900000000009</v>
      </c>
      <c r="F1172" s="14"/>
      <c r="G1172" s="14"/>
      <c r="H1172" s="58">
        <f t="shared" si="73"/>
        <v>8488.2900000000009</v>
      </c>
      <c r="I1172" s="58">
        <f t="shared" si="72"/>
        <v>8488.2900000000009</v>
      </c>
      <c r="J1172" s="126"/>
      <c r="K1172" s="81"/>
      <c r="L1172" s="208"/>
    </row>
    <row r="1173" spans="1:12" s="54" customFormat="1" outlineLevel="1" x14ac:dyDescent="0.2">
      <c r="A1173" s="93" t="s">
        <v>787</v>
      </c>
      <c r="B1173" s="103">
        <v>43060</v>
      </c>
      <c r="C1173" s="103">
        <v>43465</v>
      </c>
      <c r="D1173" s="194">
        <v>50</v>
      </c>
      <c r="E1173" s="14">
        <v>9056.4699999999993</v>
      </c>
      <c r="F1173" s="14">
        <v>5719.5</v>
      </c>
      <c r="G1173" s="14">
        <v>0</v>
      </c>
      <c r="H1173" s="58">
        <f t="shared" si="73"/>
        <v>14775.97</v>
      </c>
      <c r="I1173" s="58">
        <f t="shared" si="72"/>
        <v>14775.97</v>
      </c>
      <c r="J1173" s="126"/>
      <c r="K1173" s="81"/>
      <c r="L1173" s="208"/>
    </row>
    <row r="1174" spans="1:12" s="54" customFormat="1" outlineLevel="1" x14ac:dyDescent="0.2">
      <c r="A1174" s="51" t="s">
        <v>1397</v>
      </c>
      <c r="B1174" s="103">
        <v>43220</v>
      </c>
      <c r="C1174" s="103">
        <v>43465</v>
      </c>
      <c r="D1174" s="194">
        <v>40</v>
      </c>
      <c r="E1174" s="14">
        <v>13816.12</v>
      </c>
      <c r="F1174" s="14"/>
      <c r="G1174" s="14"/>
      <c r="H1174" s="58">
        <f t="shared" si="73"/>
        <v>13816.12</v>
      </c>
      <c r="I1174" s="58">
        <f t="shared" si="72"/>
        <v>13816.12</v>
      </c>
      <c r="J1174" s="126"/>
      <c r="K1174" s="81"/>
      <c r="L1174" s="208"/>
    </row>
    <row r="1175" spans="1:12" s="54" customFormat="1" ht="24" outlineLevel="1" x14ac:dyDescent="0.2">
      <c r="A1175" s="93" t="s">
        <v>788</v>
      </c>
      <c r="B1175" s="103">
        <v>43033</v>
      </c>
      <c r="C1175" s="103">
        <v>43465</v>
      </c>
      <c r="D1175" s="194">
        <v>40</v>
      </c>
      <c r="E1175" s="14">
        <v>5719.5</v>
      </c>
      <c r="F1175" s="14">
        <v>12006.44</v>
      </c>
      <c r="G1175" s="14">
        <v>0</v>
      </c>
      <c r="H1175" s="58">
        <f t="shared" si="73"/>
        <v>17725.940000000002</v>
      </c>
      <c r="I1175" s="58">
        <f t="shared" si="72"/>
        <v>17725.940000000002</v>
      </c>
      <c r="J1175" s="126"/>
      <c r="K1175" s="81"/>
      <c r="L1175" s="208"/>
    </row>
    <row r="1176" spans="1:12" s="54" customFormat="1" outlineLevel="1" x14ac:dyDescent="0.2">
      <c r="A1176" s="93" t="s">
        <v>789</v>
      </c>
      <c r="B1176" s="103">
        <v>42936</v>
      </c>
      <c r="C1176" s="103">
        <v>43465</v>
      </c>
      <c r="D1176" s="194">
        <v>40</v>
      </c>
      <c r="E1176" s="14">
        <v>0</v>
      </c>
      <c r="F1176" s="14">
        <v>15193.36</v>
      </c>
      <c r="G1176" s="14">
        <v>0</v>
      </c>
      <c r="H1176" s="58">
        <f t="shared" si="73"/>
        <v>15193.36</v>
      </c>
      <c r="I1176" s="58">
        <f t="shared" si="72"/>
        <v>15193.36</v>
      </c>
      <c r="J1176" s="126"/>
      <c r="K1176" s="81"/>
      <c r="L1176" s="208"/>
    </row>
    <row r="1177" spans="1:12" s="54" customFormat="1" ht="24" outlineLevel="1" x14ac:dyDescent="0.2">
      <c r="A1177" s="51" t="s">
        <v>1398</v>
      </c>
      <c r="B1177" s="103">
        <v>43251</v>
      </c>
      <c r="C1177" s="103">
        <v>43465</v>
      </c>
      <c r="D1177" s="194">
        <v>40</v>
      </c>
      <c r="E1177" s="14">
        <v>17279.95</v>
      </c>
      <c r="F1177" s="14"/>
      <c r="G1177" s="14"/>
      <c r="H1177" s="58">
        <f t="shared" si="73"/>
        <v>17279.95</v>
      </c>
      <c r="I1177" s="58">
        <f t="shared" si="72"/>
        <v>17279.95</v>
      </c>
      <c r="J1177" s="126"/>
      <c r="K1177" s="81"/>
      <c r="L1177" s="208"/>
    </row>
    <row r="1178" spans="1:12" s="54" customFormat="1" outlineLevel="1" x14ac:dyDescent="0.2">
      <c r="A1178" s="93" t="s">
        <v>790</v>
      </c>
      <c r="B1178" s="103">
        <v>43021</v>
      </c>
      <c r="C1178" s="103">
        <v>43465</v>
      </c>
      <c r="D1178" s="194">
        <v>90</v>
      </c>
      <c r="E1178" s="14">
        <v>0</v>
      </c>
      <c r="F1178" s="14">
        <f>7010.58+1297.9</f>
        <v>8308.48</v>
      </c>
      <c r="G1178" s="14">
        <v>0</v>
      </c>
      <c r="H1178" s="58">
        <f t="shared" si="73"/>
        <v>8308.48</v>
      </c>
      <c r="I1178" s="58">
        <f t="shared" si="72"/>
        <v>8308.48</v>
      </c>
      <c r="J1178" s="126"/>
      <c r="K1178" s="81"/>
      <c r="L1178" s="208"/>
    </row>
    <row r="1179" spans="1:12" s="54" customFormat="1" outlineLevel="1" x14ac:dyDescent="0.2">
      <c r="A1179" s="93" t="s">
        <v>791</v>
      </c>
      <c r="B1179" s="103">
        <v>43019</v>
      </c>
      <c r="C1179" s="103">
        <v>43465</v>
      </c>
      <c r="D1179" s="194">
        <v>40</v>
      </c>
      <c r="E1179" s="14">
        <v>0</v>
      </c>
      <c r="F1179" s="14">
        <v>9100.83</v>
      </c>
      <c r="G1179" s="14">
        <v>0</v>
      </c>
      <c r="H1179" s="58">
        <f t="shared" si="73"/>
        <v>9100.83</v>
      </c>
      <c r="I1179" s="58">
        <f t="shared" si="72"/>
        <v>9100.83</v>
      </c>
      <c r="J1179" s="126"/>
      <c r="K1179" s="81"/>
      <c r="L1179" s="208"/>
    </row>
    <row r="1180" spans="1:12" s="54" customFormat="1" ht="24" outlineLevel="1" x14ac:dyDescent="0.2">
      <c r="A1180" s="93" t="s">
        <v>792</v>
      </c>
      <c r="B1180" s="103">
        <v>43251</v>
      </c>
      <c r="C1180" s="103">
        <v>43465</v>
      </c>
      <c r="D1180" s="194">
        <v>40</v>
      </c>
      <c r="E1180" s="14">
        <v>9287.1</v>
      </c>
      <c r="F1180" s="14">
        <v>28545.91</v>
      </c>
      <c r="G1180" s="14">
        <v>0</v>
      </c>
      <c r="H1180" s="58">
        <f t="shared" si="73"/>
        <v>37833.01</v>
      </c>
      <c r="I1180" s="58">
        <f t="shared" si="72"/>
        <v>37833.01</v>
      </c>
      <c r="J1180" s="126"/>
      <c r="K1180" s="81"/>
      <c r="L1180" s="208"/>
    </row>
    <row r="1181" spans="1:12" s="54" customFormat="1" ht="24" outlineLevel="1" x14ac:dyDescent="0.2">
      <c r="A1181" s="93" t="s">
        <v>793</v>
      </c>
      <c r="B1181" s="103">
        <v>42510</v>
      </c>
      <c r="C1181" s="103">
        <v>43465</v>
      </c>
      <c r="D1181" s="194">
        <v>50</v>
      </c>
      <c r="E1181" s="14">
        <v>0</v>
      </c>
      <c r="F1181" s="14">
        <v>13505.78</v>
      </c>
      <c r="G1181" s="14">
        <v>0</v>
      </c>
      <c r="H1181" s="58">
        <f t="shared" si="73"/>
        <v>13505.78</v>
      </c>
      <c r="I1181" s="58">
        <f t="shared" si="72"/>
        <v>13505.78</v>
      </c>
      <c r="J1181" s="126"/>
      <c r="K1181" s="81"/>
      <c r="L1181" s="208"/>
    </row>
    <row r="1182" spans="1:12" s="54" customFormat="1" ht="24" outlineLevel="1" x14ac:dyDescent="0.2">
      <c r="A1182" s="93" t="s">
        <v>794</v>
      </c>
      <c r="B1182" s="103">
        <v>42692</v>
      </c>
      <c r="C1182" s="103">
        <v>43465</v>
      </c>
      <c r="D1182" s="194">
        <v>50</v>
      </c>
      <c r="E1182" s="14">
        <v>66898.33</v>
      </c>
      <c r="F1182" s="14">
        <v>239206.15</v>
      </c>
      <c r="G1182" s="14">
        <v>0</v>
      </c>
      <c r="H1182" s="58">
        <f t="shared" si="73"/>
        <v>306104.48</v>
      </c>
      <c r="I1182" s="58">
        <f t="shared" si="72"/>
        <v>306104.48</v>
      </c>
      <c r="J1182" s="126"/>
      <c r="K1182" s="81"/>
      <c r="L1182" s="208"/>
    </row>
    <row r="1183" spans="1:12" s="54" customFormat="1" ht="24" outlineLevel="1" x14ac:dyDescent="0.2">
      <c r="A1183" s="22" t="s">
        <v>795</v>
      </c>
      <c r="B1183" s="104">
        <v>42780</v>
      </c>
      <c r="C1183" s="103">
        <v>43465</v>
      </c>
      <c r="D1183" s="194">
        <v>40</v>
      </c>
      <c r="E1183" s="14">
        <v>75945.710000000006</v>
      </c>
      <c r="F1183" s="14">
        <v>113339.03</v>
      </c>
      <c r="G1183" s="14">
        <v>305882.27</v>
      </c>
      <c r="H1183" s="58">
        <f t="shared" si="73"/>
        <v>495167.01</v>
      </c>
      <c r="I1183" s="52">
        <f t="shared" si="72"/>
        <v>495167.01</v>
      </c>
      <c r="J1183" s="126"/>
      <c r="K1183" s="81"/>
      <c r="L1183" s="208"/>
    </row>
    <row r="1184" spans="1:12" s="54" customFormat="1" outlineLevel="1" x14ac:dyDescent="0.2">
      <c r="A1184" s="51" t="s">
        <v>1399</v>
      </c>
      <c r="B1184" s="104">
        <v>43251</v>
      </c>
      <c r="C1184" s="103">
        <v>43465</v>
      </c>
      <c r="D1184" s="194">
        <v>40</v>
      </c>
      <c r="E1184" s="14">
        <v>17085.5</v>
      </c>
      <c r="F1184" s="14"/>
      <c r="G1184" s="14"/>
      <c r="H1184" s="58">
        <f t="shared" si="73"/>
        <v>17085.5</v>
      </c>
      <c r="I1184" s="52">
        <f t="shared" si="72"/>
        <v>17085.5</v>
      </c>
      <c r="J1184" s="126"/>
      <c r="K1184" s="81"/>
      <c r="L1184" s="208"/>
    </row>
    <row r="1185" spans="1:12" s="54" customFormat="1" ht="24" outlineLevel="1" x14ac:dyDescent="0.2">
      <c r="A1185" s="93" t="s">
        <v>796</v>
      </c>
      <c r="B1185" s="103">
        <v>42684</v>
      </c>
      <c r="C1185" s="103">
        <v>43465</v>
      </c>
      <c r="D1185" s="194">
        <v>50</v>
      </c>
      <c r="E1185" s="14">
        <v>58454.93</v>
      </c>
      <c r="F1185" s="14">
        <f>16727.45+20274.09</f>
        <v>37001.54</v>
      </c>
      <c r="G1185" s="14">
        <v>0</v>
      </c>
      <c r="H1185" s="58">
        <f t="shared" si="73"/>
        <v>95456.47</v>
      </c>
      <c r="I1185" s="58">
        <f t="shared" si="72"/>
        <v>95456.47</v>
      </c>
      <c r="J1185" s="126"/>
      <c r="K1185" s="81"/>
      <c r="L1185" s="208"/>
    </row>
    <row r="1186" spans="1:12" s="54" customFormat="1" outlineLevel="1" x14ac:dyDescent="0.2">
      <c r="A1186" s="51" t="s">
        <v>1400</v>
      </c>
      <c r="B1186" s="103">
        <v>43251</v>
      </c>
      <c r="C1186" s="103">
        <v>43465</v>
      </c>
      <c r="D1186" s="194">
        <v>40</v>
      </c>
      <c r="E1186" s="14">
        <v>12542.6</v>
      </c>
      <c r="F1186" s="14"/>
      <c r="G1186" s="14"/>
      <c r="H1186" s="58">
        <f t="shared" si="73"/>
        <v>12542.6</v>
      </c>
      <c r="I1186" s="58">
        <f t="shared" si="72"/>
        <v>12542.6</v>
      </c>
      <c r="J1186" s="126"/>
      <c r="K1186" s="81"/>
      <c r="L1186" s="208"/>
    </row>
    <row r="1187" spans="1:12" s="54" customFormat="1" outlineLevel="1" x14ac:dyDescent="0.2">
      <c r="A1187" s="51" t="s">
        <v>1401</v>
      </c>
      <c r="B1187" s="103">
        <v>43251</v>
      </c>
      <c r="C1187" s="103">
        <v>43465</v>
      </c>
      <c r="D1187" s="194">
        <v>40</v>
      </c>
      <c r="E1187" s="14">
        <v>12542.6</v>
      </c>
      <c r="F1187" s="14"/>
      <c r="G1187" s="14"/>
      <c r="H1187" s="58">
        <f t="shared" si="73"/>
        <v>12542.6</v>
      </c>
      <c r="I1187" s="58">
        <f t="shared" si="72"/>
        <v>12542.6</v>
      </c>
      <c r="J1187" s="126"/>
      <c r="K1187" s="81"/>
      <c r="L1187" s="208"/>
    </row>
    <row r="1188" spans="1:12" s="54" customFormat="1" outlineLevel="1" x14ac:dyDescent="0.2">
      <c r="A1188" s="51" t="s">
        <v>1402</v>
      </c>
      <c r="B1188" s="103">
        <v>43251</v>
      </c>
      <c r="C1188" s="103">
        <v>43465</v>
      </c>
      <c r="D1188" s="194">
        <v>40</v>
      </c>
      <c r="E1188" s="14">
        <v>12542.6</v>
      </c>
      <c r="F1188" s="14"/>
      <c r="G1188" s="14"/>
      <c r="H1188" s="58">
        <f t="shared" si="73"/>
        <v>12542.6</v>
      </c>
      <c r="I1188" s="58">
        <f t="shared" si="72"/>
        <v>12542.6</v>
      </c>
      <c r="J1188" s="126"/>
      <c r="K1188" s="81"/>
      <c r="L1188" s="208"/>
    </row>
    <row r="1189" spans="1:12" s="54" customFormat="1" outlineLevel="1" x14ac:dyDescent="0.2">
      <c r="A1189" s="51" t="s">
        <v>1403</v>
      </c>
      <c r="B1189" s="103">
        <v>43251</v>
      </c>
      <c r="C1189" s="103">
        <v>43465</v>
      </c>
      <c r="D1189" s="194">
        <v>40</v>
      </c>
      <c r="E1189" s="14">
        <v>8060.64</v>
      </c>
      <c r="F1189" s="14"/>
      <c r="G1189" s="14"/>
      <c r="H1189" s="58">
        <f t="shared" si="73"/>
        <v>8060.64</v>
      </c>
      <c r="I1189" s="58">
        <f t="shared" si="72"/>
        <v>8060.64</v>
      </c>
      <c r="J1189" s="126"/>
      <c r="K1189" s="81"/>
      <c r="L1189" s="208"/>
    </row>
    <row r="1190" spans="1:12" s="54" customFormat="1" outlineLevel="1" x14ac:dyDescent="0.2">
      <c r="A1190" s="51" t="s">
        <v>1404</v>
      </c>
      <c r="B1190" s="103">
        <v>43281</v>
      </c>
      <c r="C1190" s="103">
        <v>43465</v>
      </c>
      <c r="D1190" s="194">
        <v>40</v>
      </c>
      <c r="E1190" s="14">
        <v>5537.5</v>
      </c>
      <c r="F1190" s="14"/>
      <c r="G1190" s="14"/>
      <c r="H1190" s="58">
        <f t="shared" si="73"/>
        <v>5537.5</v>
      </c>
      <c r="I1190" s="58">
        <f t="shared" si="72"/>
        <v>5537.5</v>
      </c>
      <c r="J1190" s="126"/>
      <c r="K1190" s="81"/>
      <c r="L1190" s="208"/>
    </row>
    <row r="1191" spans="1:12" s="54" customFormat="1" ht="24" outlineLevel="1" x14ac:dyDescent="0.2">
      <c r="A1191" s="93" t="s">
        <v>797</v>
      </c>
      <c r="B1191" s="103">
        <v>43111</v>
      </c>
      <c r="C1191" s="103">
        <v>43465</v>
      </c>
      <c r="D1191" s="194">
        <v>40</v>
      </c>
      <c r="E1191" s="14">
        <v>0</v>
      </c>
      <c r="F1191" s="14">
        <v>21452.33</v>
      </c>
      <c r="G1191" s="14">
        <v>0</v>
      </c>
      <c r="H1191" s="58">
        <f t="shared" si="73"/>
        <v>21452.33</v>
      </c>
      <c r="I1191" s="58">
        <f t="shared" si="72"/>
        <v>21452.33</v>
      </c>
      <c r="J1191" s="126"/>
      <c r="K1191" s="81"/>
      <c r="L1191" s="208"/>
    </row>
    <row r="1192" spans="1:12" s="54" customFormat="1" ht="24" outlineLevel="1" x14ac:dyDescent="0.2">
      <c r="A1192" s="51" t="s">
        <v>1405</v>
      </c>
      <c r="B1192" s="103">
        <v>43251</v>
      </c>
      <c r="C1192" s="103">
        <v>43465</v>
      </c>
      <c r="D1192" s="194">
        <v>40</v>
      </c>
      <c r="E1192" s="14">
        <v>26690.39</v>
      </c>
      <c r="F1192" s="14"/>
      <c r="G1192" s="14"/>
      <c r="H1192" s="58">
        <f t="shared" si="73"/>
        <v>26690.39</v>
      </c>
      <c r="I1192" s="58">
        <f t="shared" si="72"/>
        <v>26690.39</v>
      </c>
      <c r="J1192" s="126"/>
      <c r="K1192" s="81"/>
      <c r="L1192" s="208"/>
    </row>
    <row r="1193" spans="1:12" s="54" customFormat="1" ht="24" outlineLevel="1" x14ac:dyDescent="0.2">
      <c r="A1193" s="93" t="s">
        <v>798</v>
      </c>
      <c r="B1193" s="103">
        <v>43012</v>
      </c>
      <c r="C1193" s="103">
        <v>43465</v>
      </c>
      <c r="D1193" s="194">
        <v>30</v>
      </c>
      <c r="E1193" s="14">
        <v>0</v>
      </c>
      <c r="F1193" s="14">
        <v>11323.44</v>
      </c>
      <c r="G1193" s="14">
        <v>0</v>
      </c>
      <c r="H1193" s="58">
        <f t="shared" si="73"/>
        <v>11323.44</v>
      </c>
      <c r="I1193" s="58">
        <f t="shared" si="72"/>
        <v>11323.44</v>
      </c>
      <c r="J1193" s="126"/>
      <c r="K1193" s="81"/>
      <c r="L1193" s="208"/>
    </row>
    <row r="1194" spans="1:12" s="54" customFormat="1" ht="24" outlineLevel="1" x14ac:dyDescent="0.2">
      <c r="A1194" s="51" t="s">
        <v>1406</v>
      </c>
      <c r="B1194" s="103">
        <v>43220</v>
      </c>
      <c r="C1194" s="103">
        <v>43465</v>
      </c>
      <c r="D1194" s="194">
        <v>40</v>
      </c>
      <c r="E1194" s="14">
        <v>5110.72</v>
      </c>
      <c r="F1194" s="14"/>
      <c r="G1194" s="14"/>
      <c r="H1194" s="58">
        <f t="shared" si="73"/>
        <v>5110.72</v>
      </c>
      <c r="I1194" s="58">
        <f t="shared" si="72"/>
        <v>5110.72</v>
      </c>
      <c r="J1194" s="126"/>
      <c r="K1194" s="81"/>
      <c r="L1194" s="208"/>
    </row>
    <row r="1195" spans="1:12" s="54" customFormat="1" ht="24" outlineLevel="1" x14ac:dyDescent="0.2">
      <c r="A1195" s="93" t="s">
        <v>799</v>
      </c>
      <c r="B1195" s="103">
        <v>42668</v>
      </c>
      <c r="C1195" s="103">
        <v>43465</v>
      </c>
      <c r="D1195" s="194">
        <v>30</v>
      </c>
      <c r="E1195" s="14">
        <v>0</v>
      </c>
      <c r="F1195" s="14">
        <v>20870.47</v>
      </c>
      <c r="G1195" s="14">
        <v>0</v>
      </c>
      <c r="H1195" s="58">
        <f t="shared" si="73"/>
        <v>20870.47</v>
      </c>
      <c r="I1195" s="58">
        <f t="shared" si="72"/>
        <v>20870.47</v>
      </c>
      <c r="J1195" s="126"/>
      <c r="K1195" s="81"/>
      <c r="L1195" s="208"/>
    </row>
    <row r="1196" spans="1:12" x14ac:dyDescent="0.2">
      <c r="A1196" s="18"/>
      <c r="B1196" s="103"/>
      <c r="C1196" s="103"/>
      <c r="D1196" s="194"/>
      <c r="E1196" s="68">
        <f>SUM(E825:E1195)</f>
        <v>7073104.6999999946</v>
      </c>
      <c r="F1196" s="68">
        <f>SUM(F825:F1195)</f>
        <v>12520591.169999994</v>
      </c>
      <c r="G1196" s="68">
        <f>SUM(G825:G1195)</f>
        <v>579921.44000000006</v>
      </c>
      <c r="H1196" s="58">
        <f t="shared" si="73"/>
        <v>20173617.309999991</v>
      </c>
      <c r="I1196" s="58">
        <f>SUM(I825:I1195)</f>
        <v>20173617.310000006</v>
      </c>
      <c r="J1196" s="58"/>
      <c r="K1196" s="58"/>
      <c r="L1196" s="201"/>
    </row>
    <row r="1197" spans="1:12" ht="24" x14ac:dyDescent="0.2">
      <c r="A1197" s="44" t="s">
        <v>495</v>
      </c>
      <c r="B1197" s="103"/>
      <c r="C1197" s="104"/>
      <c r="D1197" s="195"/>
      <c r="E1197" s="71"/>
      <c r="F1197" s="71"/>
      <c r="G1197" s="14"/>
      <c r="H1197" s="37"/>
      <c r="I1197" s="52"/>
      <c r="J1197" s="14"/>
      <c r="K1197" s="75"/>
      <c r="L1197" s="201"/>
    </row>
    <row r="1198" spans="1:12" ht="24" outlineLevel="1" x14ac:dyDescent="0.2">
      <c r="A1198" s="161" t="s">
        <v>1191</v>
      </c>
      <c r="B1198" s="114">
        <v>43196</v>
      </c>
      <c r="C1198" s="107">
        <v>43424</v>
      </c>
      <c r="D1198" s="108">
        <v>30</v>
      </c>
      <c r="E1198" s="173">
        <v>7500</v>
      </c>
      <c r="F1198" s="173"/>
      <c r="G1198" s="164"/>
      <c r="H1198" s="37">
        <f>SUM(E1198:G1198)</f>
        <v>7500</v>
      </c>
      <c r="I1198" s="52">
        <v>7500</v>
      </c>
      <c r="J1198" s="42"/>
      <c r="K1198" s="42"/>
      <c r="L1198" s="201"/>
    </row>
    <row r="1199" spans="1:12" ht="24" outlineLevel="1" x14ac:dyDescent="0.2">
      <c r="A1199" s="161" t="s">
        <v>1192</v>
      </c>
      <c r="B1199" s="114">
        <v>43196</v>
      </c>
      <c r="C1199" s="107">
        <v>43391</v>
      </c>
      <c r="D1199" s="108">
        <v>30</v>
      </c>
      <c r="E1199" s="173">
        <v>7500</v>
      </c>
      <c r="F1199" s="173"/>
      <c r="G1199" s="164"/>
      <c r="H1199" s="37">
        <f t="shared" ref="H1199:H1204" si="74">SUM(E1199:G1199)</f>
        <v>7500</v>
      </c>
      <c r="I1199" s="52">
        <v>7500</v>
      </c>
      <c r="J1199" s="42"/>
      <c r="K1199" s="42"/>
      <c r="L1199" s="201"/>
    </row>
    <row r="1200" spans="1:12" ht="12.75" outlineLevel="1" x14ac:dyDescent="0.2">
      <c r="A1200" s="161" t="s">
        <v>324</v>
      </c>
      <c r="B1200" s="114">
        <v>43031</v>
      </c>
      <c r="C1200" s="118">
        <v>43457</v>
      </c>
      <c r="D1200" s="119">
        <v>90</v>
      </c>
      <c r="E1200" s="177">
        <v>96000</v>
      </c>
      <c r="F1200" s="177"/>
      <c r="G1200" s="177"/>
      <c r="H1200" s="37">
        <f t="shared" si="74"/>
        <v>96000</v>
      </c>
      <c r="I1200" s="178">
        <v>96000</v>
      </c>
      <c r="J1200" s="42"/>
      <c r="K1200" s="42"/>
      <c r="L1200" s="201"/>
    </row>
    <row r="1201" spans="1:12" ht="36" outlineLevel="1" x14ac:dyDescent="0.2">
      <c r="A1201" s="161" t="s">
        <v>138</v>
      </c>
      <c r="B1201" s="114">
        <v>42730</v>
      </c>
      <c r="C1201" s="118">
        <v>43435</v>
      </c>
      <c r="D1201" s="119">
        <v>90</v>
      </c>
      <c r="E1201" s="177">
        <v>34718.06</v>
      </c>
      <c r="F1201" s="177"/>
      <c r="G1201" s="177"/>
      <c r="H1201" s="37">
        <f t="shared" si="74"/>
        <v>34718.06</v>
      </c>
      <c r="I1201" s="178">
        <v>34718.06</v>
      </c>
      <c r="J1201" s="42"/>
      <c r="K1201" s="42"/>
      <c r="L1201" s="201"/>
    </row>
    <row r="1202" spans="1:12" ht="36" outlineLevel="1" x14ac:dyDescent="0.2">
      <c r="A1202" s="161" t="s">
        <v>325</v>
      </c>
      <c r="B1202" s="114">
        <v>42850</v>
      </c>
      <c r="C1202" s="118">
        <v>43484</v>
      </c>
      <c r="D1202" s="119">
        <v>70</v>
      </c>
      <c r="E1202" s="177">
        <v>513505.21</v>
      </c>
      <c r="F1202" s="177"/>
      <c r="G1202" s="177">
        <v>14600</v>
      </c>
      <c r="H1202" s="37">
        <f t="shared" si="74"/>
        <v>528105.21</v>
      </c>
      <c r="I1202" s="178">
        <v>528105.21</v>
      </c>
      <c r="J1202" s="42"/>
      <c r="K1202" s="42"/>
      <c r="L1202" s="201"/>
    </row>
    <row r="1203" spans="1:12" ht="24" outlineLevel="1" x14ac:dyDescent="0.2">
      <c r="A1203" s="161" t="s">
        <v>326</v>
      </c>
      <c r="B1203" s="114">
        <v>43096</v>
      </c>
      <c r="C1203" s="118">
        <v>43364</v>
      </c>
      <c r="D1203" s="119">
        <v>90</v>
      </c>
      <c r="E1203" s="177">
        <v>8200</v>
      </c>
      <c r="F1203" s="177"/>
      <c r="G1203" s="177"/>
      <c r="H1203" s="37">
        <f t="shared" si="74"/>
        <v>8200</v>
      </c>
      <c r="I1203" s="178">
        <v>8200</v>
      </c>
      <c r="J1203" s="42"/>
      <c r="K1203" s="42"/>
      <c r="L1203" s="201"/>
    </row>
    <row r="1204" spans="1:12" ht="24" outlineLevel="1" x14ac:dyDescent="0.2">
      <c r="A1204" s="161" t="s">
        <v>327</v>
      </c>
      <c r="B1204" s="114">
        <v>43017</v>
      </c>
      <c r="C1204" s="118">
        <v>43639</v>
      </c>
      <c r="D1204" s="119">
        <v>90</v>
      </c>
      <c r="E1204" s="177">
        <v>96000</v>
      </c>
      <c r="F1204" s="177"/>
      <c r="G1204" s="177"/>
      <c r="H1204" s="37">
        <f t="shared" si="74"/>
        <v>96000</v>
      </c>
      <c r="I1204" s="178">
        <v>96000</v>
      </c>
      <c r="J1204" s="42"/>
      <c r="K1204" s="42"/>
      <c r="L1204" s="201"/>
    </row>
    <row r="1205" spans="1:12" x14ac:dyDescent="0.2">
      <c r="A1205" s="61"/>
      <c r="B1205" s="103"/>
      <c r="C1205" s="103"/>
      <c r="D1205" s="194"/>
      <c r="E1205" s="68">
        <f>SUM(E1198:E1204)</f>
        <v>763423.27</v>
      </c>
      <c r="F1205" s="68">
        <f>SUM(F1198:F1204)</f>
        <v>0</v>
      </c>
      <c r="G1205" s="68">
        <f>SUM(G1198:G1204)</f>
        <v>14600</v>
      </c>
      <c r="H1205" s="58">
        <f>SUM(H1198:H1204)</f>
        <v>778023.27</v>
      </c>
      <c r="I1205" s="58">
        <f>SUM(I1198:I1204)</f>
        <v>778023.27</v>
      </c>
      <c r="J1205" s="81"/>
      <c r="K1205" s="75"/>
      <c r="L1205" s="201"/>
    </row>
    <row r="1206" spans="1:12" x14ac:dyDescent="0.2">
      <c r="A1206" s="22"/>
      <c r="B1206" s="104"/>
      <c r="C1206" s="103"/>
      <c r="D1206" s="194"/>
      <c r="E1206" s="14"/>
      <c r="F1206" s="14"/>
      <c r="G1206" s="14"/>
      <c r="H1206" s="58"/>
      <c r="I1206" s="52"/>
      <c r="J1206" s="19"/>
      <c r="K1206" s="75"/>
      <c r="L1206" s="201"/>
    </row>
    <row r="1207" spans="1:12" ht="24" x14ac:dyDescent="0.2">
      <c r="A1207" s="44" t="s">
        <v>496</v>
      </c>
      <c r="B1207" s="103"/>
      <c r="C1207" s="104"/>
      <c r="D1207" s="195"/>
      <c r="E1207" s="71"/>
      <c r="F1207" s="71"/>
      <c r="G1207" s="14"/>
      <c r="H1207" s="37"/>
      <c r="I1207" s="52"/>
      <c r="J1207" s="14"/>
      <c r="K1207" s="75"/>
      <c r="L1207" s="201"/>
    </row>
    <row r="1208" spans="1:12" ht="12.75" outlineLevel="1" x14ac:dyDescent="0.2">
      <c r="A1208" s="138" t="s">
        <v>1193</v>
      </c>
      <c r="B1208" s="112">
        <v>43237</v>
      </c>
      <c r="C1208" s="107">
        <v>43464</v>
      </c>
      <c r="D1208" s="108">
        <v>10</v>
      </c>
      <c r="E1208" s="173"/>
      <c r="F1208" s="173">
        <v>13324</v>
      </c>
      <c r="G1208" s="164"/>
      <c r="H1208" s="37">
        <v>13324</v>
      </c>
      <c r="I1208" s="37">
        <v>13324</v>
      </c>
      <c r="J1208" s="42"/>
      <c r="K1208" s="75"/>
      <c r="L1208" s="201"/>
    </row>
    <row r="1209" spans="1:12" ht="24" outlineLevel="1" x14ac:dyDescent="0.2">
      <c r="A1209" s="138" t="s">
        <v>1194</v>
      </c>
      <c r="B1209" s="129">
        <v>43219</v>
      </c>
      <c r="C1209" s="114">
        <v>43312</v>
      </c>
      <c r="D1209" s="119">
        <v>20</v>
      </c>
      <c r="E1209" s="179">
        <v>13333.65</v>
      </c>
      <c r="F1209" s="179">
        <v>1334.43</v>
      </c>
      <c r="G1209" s="179"/>
      <c r="H1209" s="178">
        <v>14668.08</v>
      </c>
      <c r="I1209" s="178">
        <v>14668.08</v>
      </c>
      <c r="J1209" s="42"/>
      <c r="K1209" s="75"/>
      <c r="L1209" s="201"/>
    </row>
    <row r="1210" spans="1:12" ht="24" outlineLevel="1" x14ac:dyDescent="0.2">
      <c r="A1210" s="138" t="s">
        <v>1195</v>
      </c>
      <c r="B1210" s="129">
        <v>43271</v>
      </c>
      <c r="C1210" s="110">
        <v>43373</v>
      </c>
      <c r="D1210" s="119">
        <v>10</v>
      </c>
      <c r="E1210" s="179"/>
      <c r="F1210" s="179">
        <v>19800</v>
      </c>
      <c r="G1210" s="179"/>
      <c r="H1210" s="178">
        <v>19800</v>
      </c>
      <c r="I1210" s="178">
        <v>19800</v>
      </c>
      <c r="J1210" s="42"/>
      <c r="K1210" s="75"/>
      <c r="L1210" s="201"/>
    </row>
    <row r="1211" spans="1:12" ht="24" outlineLevel="1" x14ac:dyDescent="0.2">
      <c r="A1211" s="138" t="s">
        <v>1196</v>
      </c>
      <c r="B1211" s="129">
        <v>43237</v>
      </c>
      <c r="C1211" s="110">
        <v>43373</v>
      </c>
      <c r="D1211" s="119">
        <v>20</v>
      </c>
      <c r="E1211" s="179"/>
      <c r="F1211" s="179">
        <v>11528</v>
      </c>
      <c r="G1211" s="179"/>
      <c r="H1211" s="178">
        <v>11528</v>
      </c>
      <c r="I1211" s="178">
        <v>11528</v>
      </c>
      <c r="J1211" s="42"/>
      <c r="K1211" s="75"/>
      <c r="L1211" s="201"/>
    </row>
    <row r="1212" spans="1:12" ht="36" outlineLevel="1" x14ac:dyDescent="0.2">
      <c r="A1212" s="138" t="s">
        <v>1197</v>
      </c>
      <c r="B1212" s="129">
        <v>43237</v>
      </c>
      <c r="C1212" s="114">
        <v>43291</v>
      </c>
      <c r="D1212" s="119">
        <v>95</v>
      </c>
      <c r="E1212" s="179"/>
      <c r="F1212" s="179">
        <v>13324</v>
      </c>
      <c r="G1212" s="179"/>
      <c r="H1212" s="178">
        <v>13324</v>
      </c>
      <c r="I1212" s="178">
        <v>13324</v>
      </c>
      <c r="J1212" s="42"/>
      <c r="K1212" s="75"/>
      <c r="L1212" s="201"/>
    </row>
    <row r="1213" spans="1:12" ht="24" outlineLevel="1" x14ac:dyDescent="0.2">
      <c r="A1213" s="138" t="s">
        <v>328</v>
      </c>
      <c r="B1213" s="129">
        <v>43100</v>
      </c>
      <c r="C1213" s="114">
        <v>43373</v>
      </c>
      <c r="D1213" s="119">
        <v>20</v>
      </c>
      <c r="E1213" s="179"/>
      <c r="F1213" s="179">
        <v>13000</v>
      </c>
      <c r="G1213" s="179"/>
      <c r="H1213" s="178">
        <v>13000</v>
      </c>
      <c r="I1213" s="178">
        <v>13000</v>
      </c>
      <c r="J1213" s="42"/>
      <c r="K1213" s="75"/>
      <c r="L1213" s="201"/>
    </row>
    <row r="1214" spans="1:12" ht="24" outlineLevel="1" x14ac:dyDescent="0.2">
      <c r="A1214" s="138" t="s">
        <v>1198</v>
      </c>
      <c r="B1214" s="129">
        <v>43237</v>
      </c>
      <c r="C1214" s="114">
        <v>43291</v>
      </c>
      <c r="D1214" s="119">
        <v>95</v>
      </c>
      <c r="E1214" s="179"/>
      <c r="F1214" s="179">
        <v>38400</v>
      </c>
      <c r="G1214" s="179"/>
      <c r="H1214" s="178">
        <v>38400</v>
      </c>
      <c r="I1214" s="178">
        <v>38400</v>
      </c>
      <c r="J1214" s="42"/>
      <c r="K1214" s="75"/>
      <c r="L1214" s="201"/>
    </row>
    <row r="1215" spans="1:12" ht="24" outlineLevel="1" x14ac:dyDescent="0.2">
      <c r="A1215" s="138" t="s">
        <v>213</v>
      </c>
      <c r="B1215" s="129">
        <v>43100</v>
      </c>
      <c r="C1215" s="114">
        <v>43373</v>
      </c>
      <c r="D1215" s="119">
        <v>10</v>
      </c>
      <c r="E1215" s="179"/>
      <c r="F1215" s="179">
        <v>7000</v>
      </c>
      <c r="G1215" s="179"/>
      <c r="H1215" s="178">
        <v>7000</v>
      </c>
      <c r="I1215" s="178">
        <v>7000</v>
      </c>
      <c r="J1215" s="42"/>
      <c r="K1215" s="75"/>
      <c r="L1215" s="201"/>
    </row>
    <row r="1216" spans="1:12" ht="24" outlineLevel="1" x14ac:dyDescent="0.2">
      <c r="A1216" s="138" t="s">
        <v>1199</v>
      </c>
      <c r="B1216" s="129">
        <v>43008</v>
      </c>
      <c r="C1216" s="114" t="s">
        <v>1200</v>
      </c>
      <c r="D1216" s="119">
        <v>10</v>
      </c>
      <c r="E1216" s="179"/>
      <c r="F1216" s="179">
        <v>15000</v>
      </c>
      <c r="G1216" s="179"/>
      <c r="H1216" s="178">
        <v>15000</v>
      </c>
      <c r="I1216" s="178">
        <v>15000</v>
      </c>
      <c r="J1216" s="42"/>
      <c r="K1216" s="75"/>
      <c r="L1216" s="201"/>
    </row>
    <row r="1217" spans="1:12" ht="24" outlineLevel="1" x14ac:dyDescent="0.2">
      <c r="A1217" s="138" t="s">
        <v>214</v>
      </c>
      <c r="B1217" s="129">
        <v>42644</v>
      </c>
      <c r="C1217" s="114">
        <v>43373</v>
      </c>
      <c r="D1217" s="119">
        <v>20</v>
      </c>
      <c r="E1217" s="179">
        <v>58136.02</v>
      </c>
      <c r="F1217" s="179">
        <v>14985.53</v>
      </c>
      <c r="H1217" s="178">
        <v>73121.55</v>
      </c>
      <c r="I1217" s="178">
        <v>73121.55</v>
      </c>
      <c r="J1217" s="42"/>
      <c r="K1217" s="75"/>
      <c r="L1217" s="201"/>
    </row>
    <row r="1218" spans="1:12" ht="24" outlineLevel="1" x14ac:dyDescent="0.2">
      <c r="A1218" s="138" t="s">
        <v>215</v>
      </c>
      <c r="B1218" s="129">
        <v>43100</v>
      </c>
      <c r="C1218" s="114">
        <v>43464</v>
      </c>
      <c r="D1218" s="119">
        <v>10</v>
      </c>
      <c r="E1218" s="179"/>
      <c r="F1218" s="179">
        <v>3911.11</v>
      </c>
      <c r="G1218" s="179"/>
      <c r="H1218" s="178">
        <v>3911.11</v>
      </c>
      <c r="I1218" s="178">
        <v>3911.11</v>
      </c>
      <c r="J1218" s="42"/>
      <c r="K1218" s="75"/>
      <c r="L1218" s="201"/>
    </row>
    <row r="1219" spans="1:12" ht="24" outlineLevel="1" x14ac:dyDescent="0.2">
      <c r="A1219" s="138" t="s">
        <v>1201</v>
      </c>
      <c r="B1219" s="118">
        <v>43237</v>
      </c>
      <c r="C1219" s="114">
        <v>43291</v>
      </c>
      <c r="D1219" s="119">
        <v>10</v>
      </c>
      <c r="E1219" s="179"/>
      <c r="F1219" s="179">
        <v>13324</v>
      </c>
      <c r="G1219" s="179"/>
      <c r="H1219" s="178">
        <v>13324</v>
      </c>
      <c r="I1219" s="178">
        <v>13324</v>
      </c>
      <c r="J1219" s="42"/>
      <c r="K1219" s="75"/>
      <c r="L1219" s="201"/>
    </row>
    <row r="1220" spans="1:12" x14ac:dyDescent="0.2">
      <c r="A1220" s="61"/>
      <c r="B1220" s="103"/>
      <c r="C1220" s="103"/>
      <c r="D1220" s="194"/>
      <c r="E1220" s="68">
        <f>SUM(E1208:E1219)</f>
        <v>71469.67</v>
      </c>
      <c r="F1220" s="68">
        <f>SUM(F1208:F1219)</f>
        <v>164931.06999999998</v>
      </c>
      <c r="G1220" s="68">
        <f>SUM(G1208:G1219)</f>
        <v>0</v>
      </c>
      <c r="H1220" s="58">
        <f>SUM(H1208:H1219)</f>
        <v>236400.74</v>
      </c>
      <c r="I1220" s="58">
        <f>SUM(I1208:I1219)</f>
        <v>236400.74</v>
      </c>
      <c r="J1220" s="89"/>
      <c r="K1220" s="75"/>
      <c r="L1220" s="201"/>
    </row>
    <row r="1221" spans="1:12" x14ac:dyDescent="0.2">
      <c r="A1221" s="35"/>
      <c r="B1221" s="103"/>
      <c r="C1221" s="103"/>
      <c r="D1221" s="195"/>
      <c r="E1221" s="14"/>
      <c r="F1221" s="14"/>
      <c r="G1221" s="14"/>
      <c r="H1221" s="58"/>
      <c r="I1221" s="58"/>
      <c r="J1221" s="83"/>
      <c r="K1221" s="75"/>
      <c r="L1221" s="201"/>
    </row>
    <row r="1222" spans="1:12" ht="24" x14ac:dyDescent="0.2">
      <c r="A1222" s="44" t="s">
        <v>497</v>
      </c>
      <c r="B1222" s="103"/>
      <c r="C1222" s="104"/>
      <c r="D1222" s="195"/>
      <c r="E1222" s="71"/>
      <c r="F1222" s="71"/>
      <c r="G1222" s="14"/>
      <c r="H1222" s="37"/>
      <c r="I1222" s="52"/>
      <c r="J1222" s="14"/>
      <c r="K1222" s="75"/>
      <c r="L1222" s="201"/>
    </row>
    <row r="1223" spans="1:12" ht="24" outlineLevel="1" x14ac:dyDescent="0.2">
      <c r="A1223" s="62" t="s">
        <v>1202</v>
      </c>
      <c r="B1223" s="112">
        <v>43221</v>
      </c>
      <c r="C1223" s="107">
        <v>43465</v>
      </c>
      <c r="D1223" s="108">
        <v>5</v>
      </c>
      <c r="E1223" s="173"/>
      <c r="F1223" s="173">
        <v>3623.98</v>
      </c>
      <c r="G1223" s="164"/>
      <c r="H1223" s="176">
        <f t="shared" ref="H1223:H1286" si="75">F1223+E1223+G1223</f>
        <v>3623.98</v>
      </c>
      <c r="I1223" s="63">
        <f t="shared" ref="I1223:I1286" si="76">H1223</f>
        <v>3623.98</v>
      </c>
      <c r="J1223" s="19"/>
      <c r="K1223" s="75"/>
      <c r="L1223" s="201"/>
    </row>
    <row r="1224" spans="1:12" ht="24" outlineLevel="1" x14ac:dyDescent="0.2">
      <c r="A1224" s="62" t="s">
        <v>1203</v>
      </c>
      <c r="B1224" s="112">
        <v>43191</v>
      </c>
      <c r="C1224" s="137">
        <v>43524</v>
      </c>
      <c r="D1224" s="108">
        <v>5</v>
      </c>
      <c r="E1224" s="173"/>
      <c r="F1224" s="173">
        <v>2314.6</v>
      </c>
      <c r="G1224" s="164"/>
      <c r="H1224" s="176">
        <f t="shared" si="75"/>
        <v>2314.6</v>
      </c>
      <c r="I1224" s="63">
        <f t="shared" si="76"/>
        <v>2314.6</v>
      </c>
      <c r="J1224" s="42"/>
      <c r="K1224" s="75"/>
      <c r="L1224" s="201"/>
    </row>
    <row r="1225" spans="1:12" ht="24" outlineLevel="1" x14ac:dyDescent="0.2">
      <c r="A1225" s="62" t="s">
        <v>498</v>
      </c>
      <c r="B1225" s="112">
        <v>43101</v>
      </c>
      <c r="C1225" s="107">
        <v>43555</v>
      </c>
      <c r="D1225" s="108">
        <v>10</v>
      </c>
      <c r="E1225" s="173">
        <v>1600</v>
      </c>
      <c r="F1225" s="173">
        <v>583.58000000000004</v>
      </c>
      <c r="G1225" s="164"/>
      <c r="H1225" s="176">
        <f t="shared" si="75"/>
        <v>2183.58</v>
      </c>
      <c r="I1225" s="63">
        <f t="shared" si="76"/>
        <v>2183.58</v>
      </c>
      <c r="J1225" s="42"/>
      <c r="K1225" s="75"/>
      <c r="L1225" s="201"/>
    </row>
    <row r="1226" spans="1:12" ht="24" outlineLevel="1" x14ac:dyDescent="0.2">
      <c r="A1226" s="62" t="s">
        <v>42</v>
      </c>
      <c r="B1226" s="112">
        <v>42309</v>
      </c>
      <c r="C1226" s="107">
        <v>43465</v>
      </c>
      <c r="D1226" s="108">
        <v>5</v>
      </c>
      <c r="E1226" s="173"/>
      <c r="F1226" s="173">
        <v>21365.13</v>
      </c>
      <c r="G1226" s="164"/>
      <c r="H1226" s="176">
        <f t="shared" si="75"/>
        <v>21365.13</v>
      </c>
      <c r="I1226" s="63">
        <f t="shared" si="76"/>
        <v>21365.13</v>
      </c>
      <c r="J1226" s="42"/>
      <c r="K1226" s="75"/>
      <c r="L1226" s="201"/>
    </row>
    <row r="1227" spans="1:12" ht="24" outlineLevel="1" x14ac:dyDescent="0.2">
      <c r="A1227" s="62" t="s">
        <v>1204</v>
      </c>
      <c r="B1227" s="112">
        <v>43191</v>
      </c>
      <c r="C1227" s="107">
        <v>43496</v>
      </c>
      <c r="D1227" s="108">
        <v>5</v>
      </c>
      <c r="E1227" s="173"/>
      <c r="F1227" s="173">
        <v>1702.08</v>
      </c>
      <c r="G1227" s="164"/>
      <c r="H1227" s="176">
        <f t="shared" si="75"/>
        <v>1702.08</v>
      </c>
      <c r="I1227" s="63">
        <f t="shared" si="76"/>
        <v>1702.08</v>
      </c>
      <c r="J1227" s="42"/>
      <c r="K1227" s="75"/>
      <c r="L1227" s="201"/>
    </row>
    <row r="1228" spans="1:12" ht="12.75" outlineLevel="1" x14ac:dyDescent="0.2">
      <c r="A1228" s="62" t="s">
        <v>499</v>
      </c>
      <c r="B1228" s="112">
        <v>43160</v>
      </c>
      <c r="C1228" s="107">
        <v>43312</v>
      </c>
      <c r="D1228" s="108">
        <v>5</v>
      </c>
      <c r="E1228" s="173"/>
      <c r="F1228" s="173">
        <v>1929.04</v>
      </c>
      <c r="G1228" s="164"/>
      <c r="H1228" s="176">
        <f t="shared" si="75"/>
        <v>1929.04</v>
      </c>
      <c r="I1228" s="63">
        <f t="shared" si="76"/>
        <v>1929.04</v>
      </c>
      <c r="J1228" s="42"/>
      <c r="K1228" s="75"/>
      <c r="L1228" s="201"/>
    </row>
    <row r="1229" spans="1:12" ht="24" outlineLevel="1" x14ac:dyDescent="0.2">
      <c r="A1229" s="62" t="s">
        <v>147</v>
      </c>
      <c r="B1229" s="112">
        <v>42826</v>
      </c>
      <c r="C1229" s="107">
        <v>43465</v>
      </c>
      <c r="D1229" s="108">
        <v>5</v>
      </c>
      <c r="E1229" s="173"/>
      <c r="F1229" s="173">
        <v>7509.22</v>
      </c>
      <c r="G1229" s="164"/>
      <c r="H1229" s="176">
        <f t="shared" si="75"/>
        <v>7509.22</v>
      </c>
      <c r="I1229" s="63">
        <f t="shared" si="76"/>
        <v>7509.22</v>
      </c>
      <c r="J1229" s="42"/>
      <c r="K1229" s="75"/>
      <c r="L1229" s="201"/>
    </row>
    <row r="1230" spans="1:12" ht="12.75" outlineLevel="1" x14ac:dyDescent="0.2">
      <c r="A1230" s="62" t="s">
        <v>500</v>
      </c>
      <c r="B1230" s="112">
        <v>43101</v>
      </c>
      <c r="C1230" s="107">
        <v>43465</v>
      </c>
      <c r="D1230" s="108">
        <v>10</v>
      </c>
      <c r="E1230" s="173">
        <v>1600</v>
      </c>
      <c r="F1230" s="173">
        <v>583.58000000000004</v>
      </c>
      <c r="G1230" s="164"/>
      <c r="H1230" s="176">
        <f t="shared" si="75"/>
        <v>2183.58</v>
      </c>
      <c r="I1230" s="63">
        <f t="shared" si="76"/>
        <v>2183.58</v>
      </c>
      <c r="J1230" s="42"/>
      <c r="K1230" s="75"/>
      <c r="L1230" s="201"/>
    </row>
    <row r="1231" spans="1:12" ht="24" outlineLevel="1" x14ac:dyDescent="0.2">
      <c r="A1231" s="62" t="s">
        <v>501</v>
      </c>
      <c r="B1231" s="112">
        <v>43132</v>
      </c>
      <c r="C1231" s="107">
        <v>43312</v>
      </c>
      <c r="D1231" s="108">
        <v>5</v>
      </c>
      <c r="E1231" s="173"/>
      <c r="F1231" s="173">
        <v>1404.9</v>
      </c>
      <c r="G1231" s="164"/>
      <c r="H1231" s="176">
        <f t="shared" si="75"/>
        <v>1404.9</v>
      </c>
      <c r="I1231" s="63">
        <f t="shared" si="76"/>
        <v>1404.9</v>
      </c>
      <c r="J1231" s="42"/>
      <c r="K1231" s="75"/>
      <c r="L1231" s="201"/>
    </row>
    <row r="1232" spans="1:12" ht="24" outlineLevel="1" x14ac:dyDescent="0.2">
      <c r="A1232" s="62" t="s">
        <v>148</v>
      </c>
      <c r="B1232" s="112">
        <v>42979</v>
      </c>
      <c r="C1232" s="107">
        <v>43404</v>
      </c>
      <c r="D1232" s="108">
        <v>5</v>
      </c>
      <c r="E1232" s="173"/>
      <c r="F1232" s="173">
        <v>1837.17</v>
      </c>
      <c r="G1232" s="164"/>
      <c r="H1232" s="176">
        <f t="shared" si="75"/>
        <v>1837.17</v>
      </c>
      <c r="I1232" s="63">
        <f t="shared" si="76"/>
        <v>1837.17</v>
      </c>
      <c r="J1232" s="42"/>
      <c r="K1232" s="75"/>
      <c r="L1232" s="201"/>
    </row>
    <row r="1233" spans="1:12" ht="36" outlineLevel="1" x14ac:dyDescent="0.2">
      <c r="A1233" s="62" t="s">
        <v>1205</v>
      </c>
      <c r="B1233" s="112">
        <v>43221</v>
      </c>
      <c r="C1233" s="107">
        <v>43496</v>
      </c>
      <c r="D1233" s="108">
        <v>5</v>
      </c>
      <c r="E1233" s="173"/>
      <c r="F1233" s="173">
        <v>1851.66</v>
      </c>
      <c r="G1233" s="164"/>
      <c r="H1233" s="176">
        <f t="shared" si="75"/>
        <v>1851.66</v>
      </c>
      <c r="I1233" s="63">
        <f t="shared" si="76"/>
        <v>1851.66</v>
      </c>
      <c r="J1233" s="42"/>
      <c r="K1233" s="75"/>
      <c r="L1233" s="201"/>
    </row>
    <row r="1234" spans="1:12" ht="12.75" outlineLevel="1" x14ac:dyDescent="0.2">
      <c r="A1234" s="62" t="s">
        <v>1206</v>
      </c>
      <c r="B1234" s="112">
        <v>43191</v>
      </c>
      <c r="C1234" s="107">
        <v>43465</v>
      </c>
      <c r="D1234" s="108">
        <v>5</v>
      </c>
      <c r="E1234" s="173"/>
      <c r="F1234" s="173">
        <v>4340.3500000000004</v>
      </c>
      <c r="G1234" s="164"/>
      <c r="H1234" s="176">
        <f t="shared" si="75"/>
        <v>4340.3500000000004</v>
      </c>
      <c r="I1234" s="63">
        <f t="shared" si="76"/>
        <v>4340.3500000000004</v>
      </c>
      <c r="J1234" s="42"/>
      <c r="K1234" s="75"/>
      <c r="L1234" s="201"/>
    </row>
    <row r="1235" spans="1:12" ht="12.75" outlineLevel="1" x14ac:dyDescent="0.2">
      <c r="A1235" s="62" t="s">
        <v>502</v>
      </c>
      <c r="B1235" s="112">
        <v>43160</v>
      </c>
      <c r="C1235" s="107">
        <v>43496</v>
      </c>
      <c r="D1235" s="108">
        <v>5</v>
      </c>
      <c r="E1235" s="173"/>
      <c r="F1235" s="173">
        <v>6035.25</v>
      </c>
      <c r="G1235" s="164"/>
      <c r="H1235" s="176">
        <f t="shared" si="75"/>
        <v>6035.25</v>
      </c>
      <c r="I1235" s="63">
        <f t="shared" si="76"/>
        <v>6035.25</v>
      </c>
      <c r="J1235" s="42"/>
      <c r="K1235" s="75"/>
      <c r="L1235" s="201"/>
    </row>
    <row r="1236" spans="1:12" ht="24" outlineLevel="1" x14ac:dyDescent="0.2">
      <c r="A1236" s="62" t="s">
        <v>149</v>
      </c>
      <c r="B1236" s="112">
        <v>42948</v>
      </c>
      <c r="C1236" s="107">
        <v>43373</v>
      </c>
      <c r="D1236" s="108">
        <v>10</v>
      </c>
      <c r="E1236" s="173">
        <v>17000</v>
      </c>
      <c r="F1236" s="173">
        <v>7942.82</v>
      </c>
      <c r="G1236" s="164"/>
      <c r="H1236" s="176">
        <f t="shared" si="75"/>
        <v>24942.82</v>
      </c>
      <c r="I1236" s="63">
        <f t="shared" si="76"/>
        <v>24942.82</v>
      </c>
      <c r="J1236" s="42"/>
      <c r="K1236" s="75"/>
      <c r="L1236" s="201"/>
    </row>
    <row r="1237" spans="1:12" ht="24" outlineLevel="1" x14ac:dyDescent="0.2">
      <c r="A1237" s="62" t="s">
        <v>1207</v>
      </c>
      <c r="B1237" s="112">
        <v>43191</v>
      </c>
      <c r="C1237" s="107">
        <v>43585</v>
      </c>
      <c r="D1237" s="108">
        <v>5</v>
      </c>
      <c r="E1237" s="173"/>
      <c r="F1237" s="173">
        <v>1851.66</v>
      </c>
      <c r="G1237" s="164"/>
      <c r="H1237" s="176">
        <f t="shared" si="75"/>
        <v>1851.66</v>
      </c>
      <c r="I1237" s="63">
        <f t="shared" si="76"/>
        <v>1851.66</v>
      </c>
      <c r="J1237" s="42"/>
      <c r="K1237" s="75"/>
      <c r="L1237" s="201"/>
    </row>
    <row r="1238" spans="1:12" ht="12.75" outlineLevel="1" x14ac:dyDescent="0.2">
      <c r="A1238" s="62" t="s">
        <v>503</v>
      </c>
      <c r="B1238" s="112">
        <v>43160</v>
      </c>
      <c r="C1238" s="107">
        <v>43465</v>
      </c>
      <c r="D1238" s="108">
        <v>5</v>
      </c>
      <c r="E1238" s="173"/>
      <c r="F1238" s="173">
        <v>1929.04</v>
      </c>
      <c r="G1238" s="164"/>
      <c r="H1238" s="176">
        <f t="shared" si="75"/>
        <v>1929.04</v>
      </c>
      <c r="I1238" s="63">
        <f t="shared" si="76"/>
        <v>1929.04</v>
      </c>
      <c r="J1238" s="42"/>
      <c r="K1238" s="75"/>
      <c r="L1238" s="201"/>
    </row>
    <row r="1239" spans="1:12" ht="24" outlineLevel="1" x14ac:dyDescent="0.2">
      <c r="A1239" s="62" t="s">
        <v>329</v>
      </c>
      <c r="B1239" s="112">
        <v>43070</v>
      </c>
      <c r="C1239" s="107">
        <v>43465</v>
      </c>
      <c r="D1239" s="108">
        <v>5</v>
      </c>
      <c r="E1239" s="173"/>
      <c r="F1239" s="173">
        <v>1361.67</v>
      </c>
      <c r="G1239" s="164"/>
      <c r="H1239" s="176">
        <f t="shared" si="75"/>
        <v>1361.67</v>
      </c>
      <c r="I1239" s="63">
        <f t="shared" si="76"/>
        <v>1361.67</v>
      </c>
      <c r="J1239" s="42"/>
      <c r="K1239" s="75"/>
      <c r="L1239" s="201"/>
    </row>
    <row r="1240" spans="1:12" ht="24" outlineLevel="1" x14ac:dyDescent="0.2">
      <c r="A1240" s="62" t="s">
        <v>504</v>
      </c>
      <c r="B1240" s="112">
        <v>43160</v>
      </c>
      <c r="C1240" s="107">
        <v>43496</v>
      </c>
      <c r="D1240" s="108">
        <v>5</v>
      </c>
      <c r="E1240" s="173"/>
      <c r="F1240" s="173">
        <v>1929.04</v>
      </c>
      <c r="G1240" s="164"/>
      <c r="H1240" s="176">
        <f t="shared" si="75"/>
        <v>1929.04</v>
      </c>
      <c r="I1240" s="63">
        <f t="shared" si="76"/>
        <v>1929.04</v>
      </c>
      <c r="J1240" s="42"/>
      <c r="K1240" s="75"/>
      <c r="L1240" s="201"/>
    </row>
    <row r="1241" spans="1:12" ht="24" outlineLevel="1" x14ac:dyDescent="0.2">
      <c r="A1241" s="62" t="s">
        <v>505</v>
      </c>
      <c r="B1241" s="112">
        <v>43160</v>
      </c>
      <c r="C1241" s="107">
        <v>43404</v>
      </c>
      <c r="D1241" s="108">
        <v>5</v>
      </c>
      <c r="E1241" s="173"/>
      <c r="F1241" s="173">
        <v>4505.95</v>
      </c>
      <c r="G1241" s="164"/>
      <c r="H1241" s="176">
        <f t="shared" si="75"/>
        <v>4505.95</v>
      </c>
      <c r="I1241" s="63">
        <f t="shared" si="76"/>
        <v>4505.95</v>
      </c>
      <c r="J1241" s="42"/>
      <c r="K1241" s="75"/>
      <c r="L1241" s="201"/>
    </row>
    <row r="1242" spans="1:12" ht="24" outlineLevel="1" x14ac:dyDescent="0.2">
      <c r="A1242" s="62" t="s">
        <v>1208</v>
      </c>
      <c r="B1242" s="112">
        <v>43191</v>
      </c>
      <c r="C1242" s="107">
        <v>43555</v>
      </c>
      <c r="D1242" s="108">
        <v>5</v>
      </c>
      <c r="E1242" s="173"/>
      <c r="F1242" s="173">
        <v>1851.66</v>
      </c>
      <c r="G1242" s="164"/>
      <c r="H1242" s="176">
        <f t="shared" si="75"/>
        <v>1851.66</v>
      </c>
      <c r="I1242" s="63">
        <f t="shared" si="76"/>
        <v>1851.66</v>
      </c>
      <c r="J1242" s="42"/>
      <c r="K1242" s="75"/>
      <c r="L1242" s="201"/>
    </row>
    <row r="1243" spans="1:12" ht="24" outlineLevel="1" x14ac:dyDescent="0.2">
      <c r="A1243" s="62" t="s">
        <v>506</v>
      </c>
      <c r="B1243" s="112">
        <v>43101</v>
      </c>
      <c r="C1243" s="107">
        <v>43404</v>
      </c>
      <c r="D1243" s="108">
        <v>5</v>
      </c>
      <c r="E1243" s="173"/>
      <c r="F1243" s="173">
        <v>2411.2800000000002</v>
      </c>
      <c r="G1243" s="164"/>
      <c r="H1243" s="176">
        <f t="shared" si="75"/>
        <v>2411.2800000000002</v>
      </c>
      <c r="I1243" s="63">
        <f t="shared" si="76"/>
        <v>2411.2800000000002</v>
      </c>
      <c r="J1243" s="42"/>
      <c r="K1243" s="75"/>
      <c r="L1243" s="201"/>
    </row>
    <row r="1244" spans="1:12" ht="12.75" outlineLevel="1" x14ac:dyDescent="0.2">
      <c r="A1244" s="62" t="s">
        <v>507</v>
      </c>
      <c r="B1244" s="112">
        <v>43160</v>
      </c>
      <c r="C1244" s="107">
        <v>43465</v>
      </c>
      <c r="D1244" s="108">
        <v>5</v>
      </c>
      <c r="E1244" s="173"/>
      <c r="F1244" s="173">
        <v>2411.27</v>
      </c>
      <c r="G1244" s="164"/>
      <c r="H1244" s="176">
        <f t="shared" si="75"/>
        <v>2411.27</v>
      </c>
      <c r="I1244" s="63">
        <f t="shared" si="76"/>
        <v>2411.27</v>
      </c>
      <c r="J1244" s="42"/>
      <c r="K1244" s="75"/>
      <c r="L1244" s="201"/>
    </row>
    <row r="1245" spans="1:12" ht="24" outlineLevel="1" x14ac:dyDescent="0.2">
      <c r="A1245" s="62" t="s">
        <v>1209</v>
      </c>
      <c r="B1245" s="112">
        <v>43221</v>
      </c>
      <c r="C1245" s="107">
        <v>43404</v>
      </c>
      <c r="D1245" s="108">
        <v>15</v>
      </c>
      <c r="E1245" s="173">
        <v>13542</v>
      </c>
      <c r="F1245" s="173">
        <v>2314.6</v>
      </c>
      <c r="G1245" s="164"/>
      <c r="H1245" s="176">
        <f t="shared" si="75"/>
        <v>15856.6</v>
      </c>
      <c r="I1245" s="63">
        <f t="shared" si="76"/>
        <v>15856.6</v>
      </c>
      <c r="J1245" s="42"/>
      <c r="K1245" s="75"/>
      <c r="L1245" s="201"/>
    </row>
    <row r="1246" spans="1:12" ht="24" outlineLevel="1" x14ac:dyDescent="0.2">
      <c r="A1246" s="62" t="s">
        <v>150</v>
      </c>
      <c r="B1246" s="112">
        <v>42583</v>
      </c>
      <c r="C1246" s="107">
        <v>43404</v>
      </c>
      <c r="D1246" s="108">
        <v>15</v>
      </c>
      <c r="E1246" s="173">
        <v>18139.349999999999</v>
      </c>
      <c r="F1246" s="173">
        <v>2842.79</v>
      </c>
      <c r="G1246" s="164"/>
      <c r="H1246" s="176">
        <f t="shared" si="75"/>
        <v>20982.14</v>
      </c>
      <c r="I1246" s="63">
        <f t="shared" si="76"/>
        <v>20982.14</v>
      </c>
      <c r="J1246" s="42"/>
      <c r="K1246" s="75"/>
      <c r="L1246" s="201"/>
    </row>
    <row r="1247" spans="1:12" ht="12.75" outlineLevel="1" x14ac:dyDescent="0.2">
      <c r="A1247" s="62" t="s">
        <v>1210</v>
      </c>
      <c r="B1247" s="112">
        <v>43252</v>
      </c>
      <c r="C1247" s="137">
        <v>43496</v>
      </c>
      <c r="D1247" s="108">
        <v>5</v>
      </c>
      <c r="E1247" s="173"/>
      <c r="F1247" s="173">
        <v>1851.66</v>
      </c>
      <c r="G1247" s="164"/>
      <c r="H1247" s="176">
        <f t="shared" si="75"/>
        <v>1851.66</v>
      </c>
      <c r="I1247" s="63">
        <f t="shared" si="76"/>
        <v>1851.66</v>
      </c>
      <c r="J1247" s="42"/>
      <c r="K1247" s="75"/>
      <c r="L1247" s="201"/>
    </row>
    <row r="1248" spans="1:12" ht="24" outlineLevel="1" x14ac:dyDescent="0.2">
      <c r="A1248" s="62" t="s">
        <v>508</v>
      </c>
      <c r="B1248" s="112">
        <v>43160</v>
      </c>
      <c r="C1248" s="137">
        <v>43496</v>
      </c>
      <c r="D1248" s="108">
        <v>5</v>
      </c>
      <c r="E1248" s="173"/>
      <c r="F1248" s="173">
        <v>972.63</v>
      </c>
      <c r="G1248" s="164"/>
      <c r="H1248" s="176">
        <f t="shared" si="75"/>
        <v>972.63</v>
      </c>
      <c r="I1248" s="63">
        <f t="shared" si="76"/>
        <v>972.63</v>
      </c>
      <c r="J1248" s="42"/>
      <c r="K1248" s="75"/>
      <c r="L1248" s="201"/>
    </row>
    <row r="1249" spans="1:12" ht="24" outlineLevel="1" x14ac:dyDescent="0.2">
      <c r="A1249" s="62" t="s">
        <v>1211</v>
      </c>
      <c r="B1249" s="112">
        <v>43191</v>
      </c>
      <c r="C1249" s="137">
        <v>43496</v>
      </c>
      <c r="D1249" s="108">
        <v>5</v>
      </c>
      <c r="E1249" s="173"/>
      <c r="F1249" s="173">
        <v>1851.66</v>
      </c>
      <c r="G1249" s="164"/>
      <c r="H1249" s="176">
        <f t="shared" si="75"/>
        <v>1851.66</v>
      </c>
      <c r="I1249" s="63">
        <f t="shared" si="76"/>
        <v>1851.66</v>
      </c>
      <c r="J1249" s="42"/>
      <c r="K1249" s="75"/>
      <c r="L1249" s="201"/>
    </row>
    <row r="1250" spans="1:12" ht="24" outlineLevel="1" x14ac:dyDescent="0.2">
      <c r="A1250" s="62" t="s">
        <v>509</v>
      </c>
      <c r="B1250" s="112">
        <v>43101</v>
      </c>
      <c r="C1250" s="137">
        <v>43496</v>
      </c>
      <c r="D1250" s="108">
        <v>5</v>
      </c>
      <c r="E1250" s="173"/>
      <c r="F1250" s="173">
        <v>1929.04</v>
      </c>
      <c r="G1250" s="164"/>
      <c r="H1250" s="176">
        <f t="shared" si="75"/>
        <v>1929.04</v>
      </c>
      <c r="I1250" s="63">
        <f t="shared" si="76"/>
        <v>1929.04</v>
      </c>
      <c r="J1250" s="42"/>
      <c r="K1250" s="75"/>
      <c r="L1250" s="201"/>
    </row>
    <row r="1251" spans="1:12" ht="24" outlineLevel="1" x14ac:dyDescent="0.2">
      <c r="A1251" s="62" t="s">
        <v>151</v>
      </c>
      <c r="B1251" s="112">
        <v>42979</v>
      </c>
      <c r="C1251" s="137">
        <v>43496</v>
      </c>
      <c r="D1251" s="108">
        <v>10</v>
      </c>
      <c r="E1251" s="173"/>
      <c r="F1251" s="173">
        <v>5430.27</v>
      </c>
      <c r="G1251" s="164"/>
      <c r="H1251" s="176">
        <f t="shared" si="75"/>
        <v>5430.27</v>
      </c>
      <c r="I1251" s="63">
        <f t="shared" si="76"/>
        <v>5430.27</v>
      </c>
      <c r="J1251" s="42"/>
      <c r="K1251" s="75"/>
      <c r="L1251" s="201"/>
    </row>
    <row r="1252" spans="1:12" ht="24" outlineLevel="1" x14ac:dyDescent="0.2">
      <c r="A1252" s="62" t="s">
        <v>1212</v>
      </c>
      <c r="B1252" s="112">
        <v>43252</v>
      </c>
      <c r="C1252" s="107">
        <v>43524</v>
      </c>
      <c r="D1252" s="108">
        <v>5</v>
      </c>
      <c r="E1252" s="173"/>
      <c r="F1252" s="173">
        <v>1221.27</v>
      </c>
      <c r="G1252" s="164"/>
      <c r="H1252" s="176">
        <f t="shared" si="75"/>
        <v>1221.27</v>
      </c>
      <c r="I1252" s="63">
        <f t="shared" si="76"/>
        <v>1221.27</v>
      </c>
      <c r="J1252" s="42"/>
      <c r="K1252" s="75"/>
      <c r="L1252" s="201"/>
    </row>
    <row r="1253" spans="1:12" ht="24" outlineLevel="1" x14ac:dyDescent="0.2">
      <c r="A1253" s="62" t="s">
        <v>330</v>
      </c>
      <c r="B1253" s="112">
        <v>43040</v>
      </c>
      <c r="C1253" s="137">
        <v>43465</v>
      </c>
      <c r="D1253" s="108">
        <v>5</v>
      </c>
      <c r="E1253" s="173"/>
      <c r="F1253" s="173">
        <v>1929.05</v>
      </c>
      <c r="G1253" s="164"/>
      <c r="H1253" s="176">
        <f t="shared" si="75"/>
        <v>1929.05</v>
      </c>
      <c r="I1253" s="63">
        <f t="shared" si="76"/>
        <v>1929.05</v>
      </c>
      <c r="J1253" s="42"/>
      <c r="K1253" s="75"/>
      <c r="L1253" s="201"/>
    </row>
    <row r="1254" spans="1:12" ht="24" outlineLevel="1" x14ac:dyDescent="0.2">
      <c r="A1254" s="62" t="s">
        <v>1213</v>
      </c>
      <c r="B1254" s="112">
        <v>43160</v>
      </c>
      <c r="C1254" s="137">
        <v>43465</v>
      </c>
      <c r="D1254" s="108">
        <v>5</v>
      </c>
      <c r="E1254" s="173"/>
      <c r="F1254" s="173">
        <v>2411.27</v>
      </c>
      <c r="G1254" s="164"/>
      <c r="H1254" s="176">
        <f t="shared" si="75"/>
        <v>2411.27</v>
      </c>
      <c r="I1254" s="63">
        <f t="shared" si="76"/>
        <v>2411.27</v>
      </c>
      <c r="J1254" s="42"/>
      <c r="K1254" s="75"/>
      <c r="L1254" s="201"/>
    </row>
    <row r="1255" spans="1:12" ht="24" outlineLevel="1" x14ac:dyDescent="0.2">
      <c r="A1255" s="62" t="s">
        <v>510</v>
      </c>
      <c r="B1255" s="112">
        <v>43160</v>
      </c>
      <c r="C1255" s="107">
        <v>43465</v>
      </c>
      <c r="D1255" s="108">
        <v>10</v>
      </c>
      <c r="E1255" s="173">
        <v>15000</v>
      </c>
      <c r="F1255" s="173">
        <v>2269.46</v>
      </c>
      <c r="G1255" s="164"/>
      <c r="H1255" s="176">
        <f t="shared" si="75"/>
        <v>17269.46</v>
      </c>
      <c r="I1255" s="63">
        <f t="shared" si="76"/>
        <v>17269.46</v>
      </c>
      <c r="J1255" s="42"/>
      <c r="K1255" s="75"/>
      <c r="L1255" s="201"/>
    </row>
    <row r="1256" spans="1:12" ht="24" outlineLevel="1" x14ac:dyDescent="0.2">
      <c r="A1256" s="62" t="s">
        <v>1214</v>
      </c>
      <c r="B1256" s="112">
        <v>43221</v>
      </c>
      <c r="C1256" s="137">
        <v>43496</v>
      </c>
      <c r="D1256" s="108">
        <v>5</v>
      </c>
      <c r="E1256" s="173"/>
      <c r="F1256" s="173">
        <v>2314.66</v>
      </c>
      <c r="G1256" s="164"/>
      <c r="H1256" s="176">
        <f t="shared" si="75"/>
        <v>2314.66</v>
      </c>
      <c r="I1256" s="63">
        <f t="shared" si="76"/>
        <v>2314.66</v>
      </c>
      <c r="J1256" s="42"/>
      <c r="K1256" s="75"/>
      <c r="L1256" s="201"/>
    </row>
    <row r="1257" spans="1:12" ht="24" outlineLevel="1" x14ac:dyDescent="0.2">
      <c r="A1257" s="62" t="s">
        <v>511</v>
      </c>
      <c r="B1257" s="112">
        <v>43132</v>
      </c>
      <c r="C1257" s="107">
        <v>43434</v>
      </c>
      <c r="D1257" s="108">
        <v>5</v>
      </c>
      <c r="E1257" s="173"/>
      <c r="F1257" s="173">
        <v>1929.04</v>
      </c>
      <c r="G1257" s="164"/>
      <c r="H1257" s="176">
        <f t="shared" si="75"/>
        <v>1929.04</v>
      </c>
      <c r="I1257" s="63">
        <f t="shared" si="76"/>
        <v>1929.04</v>
      </c>
      <c r="J1257" s="42"/>
      <c r="K1257" s="75"/>
      <c r="L1257" s="201"/>
    </row>
    <row r="1258" spans="1:12" ht="12.75" outlineLevel="1" x14ac:dyDescent="0.2">
      <c r="A1258" s="62" t="s">
        <v>331</v>
      </c>
      <c r="B1258" s="112">
        <v>43070</v>
      </c>
      <c r="C1258" s="137">
        <v>43465</v>
      </c>
      <c r="D1258" s="108">
        <v>5</v>
      </c>
      <c r="E1258" s="173"/>
      <c r="F1258" s="173">
        <v>1929.04</v>
      </c>
      <c r="G1258" s="164"/>
      <c r="H1258" s="176">
        <f t="shared" si="75"/>
        <v>1929.04</v>
      </c>
      <c r="I1258" s="63">
        <f t="shared" si="76"/>
        <v>1929.04</v>
      </c>
      <c r="J1258" s="42"/>
      <c r="K1258" s="75"/>
      <c r="L1258" s="201"/>
    </row>
    <row r="1259" spans="1:12" ht="24" outlineLevel="1" x14ac:dyDescent="0.2">
      <c r="A1259" s="62" t="s">
        <v>1215</v>
      </c>
      <c r="B1259" s="112">
        <v>43191</v>
      </c>
      <c r="C1259" s="107">
        <v>43312</v>
      </c>
      <c r="D1259" s="108">
        <v>5</v>
      </c>
      <c r="E1259" s="173"/>
      <c r="F1259" s="173">
        <v>1929.04</v>
      </c>
      <c r="G1259" s="164"/>
      <c r="H1259" s="176">
        <f t="shared" si="75"/>
        <v>1929.04</v>
      </c>
      <c r="I1259" s="63">
        <f t="shared" si="76"/>
        <v>1929.04</v>
      </c>
      <c r="J1259" s="42"/>
      <c r="K1259" s="75"/>
      <c r="L1259" s="201"/>
    </row>
    <row r="1260" spans="1:12" ht="24" outlineLevel="1" x14ac:dyDescent="0.2">
      <c r="A1260" s="62" t="s">
        <v>332</v>
      </c>
      <c r="B1260" s="112">
        <v>43009</v>
      </c>
      <c r="C1260" s="107">
        <v>43496</v>
      </c>
      <c r="D1260" s="108">
        <v>5</v>
      </c>
      <c r="E1260" s="173"/>
      <c r="F1260" s="173">
        <v>7590.26</v>
      </c>
      <c r="G1260" s="164"/>
      <c r="H1260" s="176">
        <f t="shared" si="75"/>
        <v>7590.26</v>
      </c>
      <c r="I1260" s="63">
        <f t="shared" si="76"/>
        <v>7590.26</v>
      </c>
      <c r="J1260" s="42"/>
      <c r="K1260" s="75"/>
      <c r="L1260" s="201"/>
    </row>
    <row r="1261" spans="1:12" ht="24" outlineLevel="1" x14ac:dyDescent="0.2">
      <c r="A1261" s="62" t="s">
        <v>512</v>
      </c>
      <c r="B1261" s="112">
        <v>43132</v>
      </c>
      <c r="C1261" s="107">
        <v>43496</v>
      </c>
      <c r="D1261" s="108">
        <v>10</v>
      </c>
      <c r="E1261" s="173"/>
      <c r="F1261" s="173">
        <v>5326.06</v>
      </c>
      <c r="G1261" s="164"/>
      <c r="H1261" s="176">
        <f t="shared" si="75"/>
        <v>5326.06</v>
      </c>
      <c r="I1261" s="63">
        <f t="shared" si="76"/>
        <v>5326.06</v>
      </c>
      <c r="J1261" s="42"/>
      <c r="K1261" s="75"/>
      <c r="L1261" s="201"/>
    </row>
    <row r="1262" spans="1:12" ht="12.75" outlineLevel="1" x14ac:dyDescent="0.2">
      <c r="A1262" s="62" t="s">
        <v>513</v>
      </c>
      <c r="B1262" s="112">
        <v>43132</v>
      </c>
      <c r="C1262" s="107">
        <v>43496</v>
      </c>
      <c r="D1262" s="108">
        <v>5</v>
      </c>
      <c r="E1262" s="173"/>
      <c r="F1262" s="173">
        <v>1929.05</v>
      </c>
      <c r="G1262" s="164"/>
      <c r="H1262" s="176">
        <f t="shared" si="75"/>
        <v>1929.05</v>
      </c>
      <c r="I1262" s="63">
        <f t="shared" si="76"/>
        <v>1929.05</v>
      </c>
      <c r="J1262" s="42"/>
      <c r="K1262" s="75"/>
      <c r="L1262" s="201"/>
    </row>
    <row r="1263" spans="1:12" ht="24" outlineLevel="1" x14ac:dyDescent="0.2">
      <c r="A1263" s="62" t="s">
        <v>514</v>
      </c>
      <c r="B1263" s="112">
        <v>43132</v>
      </c>
      <c r="C1263" s="137">
        <v>43465</v>
      </c>
      <c r="D1263" s="108">
        <v>5</v>
      </c>
      <c r="E1263" s="173"/>
      <c r="F1263" s="173">
        <v>4340.33</v>
      </c>
      <c r="G1263" s="164"/>
      <c r="H1263" s="176">
        <f t="shared" si="75"/>
        <v>4340.33</v>
      </c>
      <c r="I1263" s="63">
        <f t="shared" si="76"/>
        <v>4340.33</v>
      </c>
      <c r="J1263" s="42"/>
      <c r="K1263" s="75"/>
      <c r="L1263" s="201"/>
    </row>
    <row r="1264" spans="1:12" ht="24" outlineLevel="1" x14ac:dyDescent="0.2">
      <c r="A1264" s="62" t="s">
        <v>1216</v>
      </c>
      <c r="B1264" s="112">
        <v>43191</v>
      </c>
      <c r="C1264" s="137">
        <v>43555</v>
      </c>
      <c r="D1264" s="108">
        <v>5</v>
      </c>
      <c r="E1264" s="173"/>
      <c r="F1264" s="173">
        <v>1929.06</v>
      </c>
      <c r="G1264" s="164"/>
      <c r="H1264" s="176">
        <f t="shared" si="75"/>
        <v>1929.06</v>
      </c>
      <c r="I1264" s="63">
        <f t="shared" si="76"/>
        <v>1929.06</v>
      </c>
      <c r="J1264" s="42"/>
      <c r="K1264" s="75"/>
      <c r="L1264" s="201"/>
    </row>
    <row r="1265" spans="1:12" ht="24" outlineLevel="1" x14ac:dyDescent="0.2">
      <c r="A1265" s="62" t="s">
        <v>1217</v>
      </c>
      <c r="B1265" s="112">
        <v>43252</v>
      </c>
      <c r="C1265" s="137">
        <v>43524</v>
      </c>
      <c r="D1265" s="108">
        <v>5</v>
      </c>
      <c r="E1265" s="173"/>
      <c r="F1265" s="173">
        <v>1851.66</v>
      </c>
      <c r="G1265" s="164"/>
      <c r="H1265" s="176">
        <f t="shared" si="75"/>
        <v>1851.66</v>
      </c>
      <c r="I1265" s="63">
        <f t="shared" si="76"/>
        <v>1851.66</v>
      </c>
      <c r="J1265" s="42"/>
      <c r="K1265" s="75"/>
      <c r="L1265" s="201"/>
    </row>
    <row r="1266" spans="1:12" ht="12.75" outlineLevel="1" x14ac:dyDescent="0.2">
      <c r="A1266" s="62" t="s">
        <v>1218</v>
      </c>
      <c r="B1266" s="112">
        <v>43191</v>
      </c>
      <c r="C1266" s="137">
        <v>43465</v>
      </c>
      <c r="D1266" s="108">
        <v>5</v>
      </c>
      <c r="E1266" s="173"/>
      <c r="F1266" s="173">
        <v>972.63</v>
      </c>
      <c r="G1266" s="164"/>
      <c r="H1266" s="176">
        <f t="shared" si="75"/>
        <v>972.63</v>
      </c>
      <c r="I1266" s="63">
        <f t="shared" si="76"/>
        <v>972.63</v>
      </c>
      <c r="J1266" s="42"/>
      <c r="K1266" s="75"/>
      <c r="L1266" s="201"/>
    </row>
    <row r="1267" spans="1:12" ht="12.75" outlineLevel="1" x14ac:dyDescent="0.2">
      <c r="A1267" s="62" t="s">
        <v>515</v>
      </c>
      <c r="B1267" s="112">
        <v>43160</v>
      </c>
      <c r="C1267" s="137">
        <v>43465</v>
      </c>
      <c r="D1267" s="108">
        <v>30</v>
      </c>
      <c r="E1267" s="173">
        <v>90087.09</v>
      </c>
      <c r="F1267" s="173">
        <v>5091.92</v>
      </c>
      <c r="G1267" s="164"/>
      <c r="H1267" s="176">
        <f t="shared" si="75"/>
        <v>95179.01</v>
      </c>
      <c r="I1267" s="63">
        <f t="shared" si="76"/>
        <v>95179.01</v>
      </c>
      <c r="J1267" s="42"/>
      <c r="K1267" s="75"/>
      <c r="L1267" s="201"/>
    </row>
    <row r="1268" spans="1:12" ht="12.75" outlineLevel="1" x14ac:dyDescent="0.2">
      <c r="A1268" s="62" t="s">
        <v>1219</v>
      </c>
      <c r="B1268" s="112">
        <v>43252</v>
      </c>
      <c r="C1268" s="137">
        <v>43465</v>
      </c>
      <c r="D1268" s="108">
        <v>5</v>
      </c>
      <c r="E1268" s="173"/>
      <c r="F1268" s="173">
        <v>2314.6</v>
      </c>
      <c r="G1268" s="164"/>
      <c r="H1268" s="176">
        <f t="shared" si="75"/>
        <v>2314.6</v>
      </c>
      <c r="I1268" s="63">
        <f t="shared" si="76"/>
        <v>2314.6</v>
      </c>
      <c r="J1268" s="42"/>
      <c r="K1268" s="75"/>
      <c r="L1268" s="201"/>
    </row>
    <row r="1269" spans="1:12" ht="24" outlineLevel="1" x14ac:dyDescent="0.2">
      <c r="A1269" s="62" t="s">
        <v>152</v>
      </c>
      <c r="B1269" s="112">
        <v>42887</v>
      </c>
      <c r="C1269" s="107">
        <v>43404</v>
      </c>
      <c r="D1269" s="108">
        <v>10</v>
      </c>
      <c r="E1269" s="173">
        <v>13000</v>
      </c>
      <c r="F1269" s="173">
        <v>2411.2800000000002</v>
      </c>
      <c r="G1269" s="164"/>
      <c r="H1269" s="176">
        <f t="shared" si="75"/>
        <v>15411.28</v>
      </c>
      <c r="I1269" s="63">
        <f t="shared" si="76"/>
        <v>15411.28</v>
      </c>
      <c r="J1269" s="42"/>
      <c r="K1269" s="75"/>
      <c r="L1269" s="201"/>
    </row>
    <row r="1270" spans="1:12" ht="24" outlineLevel="1" x14ac:dyDescent="0.2">
      <c r="A1270" s="62" t="s">
        <v>1220</v>
      </c>
      <c r="B1270" s="112">
        <v>43221</v>
      </c>
      <c r="C1270" s="137">
        <v>43465</v>
      </c>
      <c r="D1270" s="108">
        <v>5</v>
      </c>
      <c r="E1270" s="173"/>
      <c r="F1270" s="173">
        <v>1851.66</v>
      </c>
      <c r="G1270" s="164"/>
      <c r="H1270" s="176">
        <f t="shared" si="75"/>
        <v>1851.66</v>
      </c>
      <c r="I1270" s="63">
        <f t="shared" si="76"/>
        <v>1851.66</v>
      </c>
      <c r="J1270" s="42"/>
      <c r="K1270" s="75"/>
      <c r="L1270" s="201"/>
    </row>
    <row r="1271" spans="1:12" ht="12.75" outlineLevel="1" x14ac:dyDescent="0.2">
      <c r="A1271" s="62" t="s">
        <v>1221</v>
      </c>
      <c r="B1271" s="112">
        <v>43252</v>
      </c>
      <c r="C1271" s="137">
        <v>43496</v>
      </c>
      <c r="D1271" s="108">
        <v>5</v>
      </c>
      <c r="E1271" s="173"/>
      <c r="F1271" s="173">
        <v>1851.66</v>
      </c>
      <c r="G1271" s="164"/>
      <c r="H1271" s="176">
        <f t="shared" si="75"/>
        <v>1851.66</v>
      </c>
      <c r="I1271" s="63">
        <f t="shared" si="76"/>
        <v>1851.66</v>
      </c>
      <c r="J1271" s="42"/>
      <c r="K1271" s="75"/>
      <c r="L1271" s="201"/>
    </row>
    <row r="1272" spans="1:12" ht="12.75" outlineLevel="1" x14ac:dyDescent="0.2">
      <c r="A1272" s="62" t="s">
        <v>1222</v>
      </c>
      <c r="B1272" s="112">
        <v>43191</v>
      </c>
      <c r="C1272" s="107">
        <v>43312</v>
      </c>
      <c r="D1272" s="108">
        <v>5</v>
      </c>
      <c r="E1272" s="173"/>
      <c r="F1272" s="173">
        <v>1929.06</v>
      </c>
      <c r="G1272" s="164"/>
      <c r="H1272" s="176">
        <f t="shared" si="75"/>
        <v>1929.06</v>
      </c>
      <c r="I1272" s="63">
        <f t="shared" si="76"/>
        <v>1929.06</v>
      </c>
      <c r="J1272" s="42"/>
      <c r="K1272" s="75"/>
      <c r="L1272" s="201"/>
    </row>
    <row r="1273" spans="1:12" ht="12.75" outlineLevel="1" x14ac:dyDescent="0.2">
      <c r="A1273" s="62" t="s">
        <v>1223</v>
      </c>
      <c r="B1273" s="112">
        <v>43252</v>
      </c>
      <c r="C1273" s="107">
        <v>43524</v>
      </c>
      <c r="D1273" s="108">
        <v>5</v>
      </c>
      <c r="E1273" s="173"/>
      <c r="F1273" s="173">
        <v>1851.66</v>
      </c>
      <c r="G1273" s="164"/>
      <c r="H1273" s="176">
        <f t="shared" si="75"/>
        <v>1851.66</v>
      </c>
      <c r="I1273" s="63">
        <f t="shared" si="76"/>
        <v>1851.66</v>
      </c>
      <c r="J1273" s="42"/>
      <c r="K1273" s="75"/>
      <c r="L1273" s="201"/>
    </row>
    <row r="1274" spans="1:12" ht="12.75" outlineLevel="1" x14ac:dyDescent="0.2">
      <c r="A1274" s="62" t="s">
        <v>1224</v>
      </c>
      <c r="B1274" s="112">
        <v>43252</v>
      </c>
      <c r="C1274" s="107">
        <v>43524</v>
      </c>
      <c r="D1274" s="108">
        <v>5</v>
      </c>
      <c r="E1274" s="173"/>
      <c r="F1274" s="173">
        <v>1851.66</v>
      </c>
      <c r="G1274" s="164"/>
      <c r="H1274" s="176">
        <f t="shared" si="75"/>
        <v>1851.66</v>
      </c>
      <c r="I1274" s="63">
        <f t="shared" si="76"/>
        <v>1851.66</v>
      </c>
      <c r="J1274" s="42"/>
      <c r="K1274" s="75"/>
      <c r="L1274" s="201"/>
    </row>
    <row r="1275" spans="1:12" ht="24" outlineLevel="1" x14ac:dyDescent="0.2">
      <c r="A1275" s="62" t="s">
        <v>153</v>
      </c>
      <c r="B1275" s="112">
        <v>42856</v>
      </c>
      <c r="C1275" s="107">
        <v>43465</v>
      </c>
      <c r="D1275" s="108">
        <v>5</v>
      </c>
      <c r="E1275" s="173"/>
      <c r="F1275" s="173">
        <v>8590.57</v>
      </c>
      <c r="G1275" s="164"/>
      <c r="H1275" s="176">
        <f t="shared" si="75"/>
        <v>8590.57</v>
      </c>
      <c r="I1275" s="63">
        <f t="shared" si="76"/>
        <v>8590.57</v>
      </c>
      <c r="J1275" s="42"/>
      <c r="K1275" s="75"/>
      <c r="L1275" s="201"/>
    </row>
    <row r="1276" spans="1:12" ht="24" outlineLevel="1" x14ac:dyDescent="0.2">
      <c r="A1276" s="62" t="s">
        <v>154</v>
      </c>
      <c r="B1276" s="112">
        <v>42826</v>
      </c>
      <c r="C1276" s="107">
        <v>43524</v>
      </c>
      <c r="D1276" s="108">
        <v>15</v>
      </c>
      <c r="E1276" s="173">
        <v>45000</v>
      </c>
      <c r="F1276" s="173">
        <v>9432.7800000000007</v>
      </c>
      <c r="G1276" s="164"/>
      <c r="H1276" s="176">
        <f t="shared" si="75"/>
        <v>54432.78</v>
      </c>
      <c r="I1276" s="63">
        <f t="shared" si="76"/>
        <v>54432.78</v>
      </c>
      <c r="J1276" s="42"/>
      <c r="K1276" s="75"/>
      <c r="L1276" s="201"/>
    </row>
    <row r="1277" spans="1:12" ht="24" outlineLevel="1" x14ac:dyDescent="0.2">
      <c r="A1277" s="62" t="s">
        <v>333</v>
      </c>
      <c r="B1277" s="112">
        <v>43070</v>
      </c>
      <c r="C1277" s="137">
        <v>43616</v>
      </c>
      <c r="D1277" s="108">
        <v>5</v>
      </c>
      <c r="E1277" s="173"/>
      <c r="F1277" s="173">
        <v>1929.04</v>
      </c>
      <c r="G1277" s="164"/>
      <c r="H1277" s="176">
        <f t="shared" si="75"/>
        <v>1929.04</v>
      </c>
      <c r="I1277" s="63">
        <f t="shared" si="76"/>
        <v>1929.04</v>
      </c>
      <c r="J1277" s="42"/>
      <c r="K1277" s="75"/>
      <c r="L1277" s="201"/>
    </row>
    <row r="1278" spans="1:12" ht="12.75" outlineLevel="1" x14ac:dyDescent="0.2">
      <c r="A1278" s="62" t="s">
        <v>516</v>
      </c>
      <c r="B1278" s="112">
        <v>43101</v>
      </c>
      <c r="C1278" s="107">
        <v>43465</v>
      </c>
      <c r="D1278" s="108">
        <v>5</v>
      </c>
      <c r="E1278" s="173"/>
      <c r="F1278" s="173">
        <v>1929.04</v>
      </c>
      <c r="G1278" s="164"/>
      <c r="H1278" s="176">
        <f t="shared" si="75"/>
        <v>1929.04</v>
      </c>
      <c r="I1278" s="63">
        <f t="shared" si="76"/>
        <v>1929.04</v>
      </c>
      <c r="J1278" s="42"/>
      <c r="K1278" s="75"/>
      <c r="L1278" s="201"/>
    </row>
    <row r="1279" spans="1:12" ht="24" outlineLevel="1" x14ac:dyDescent="0.2">
      <c r="A1279" s="62" t="s">
        <v>517</v>
      </c>
      <c r="B1279" s="112">
        <v>43132</v>
      </c>
      <c r="C1279" s="107">
        <v>43524</v>
      </c>
      <c r="D1279" s="108">
        <v>10</v>
      </c>
      <c r="E1279" s="173"/>
      <c r="F1279" s="173">
        <v>4839.75</v>
      </c>
      <c r="G1279" s="164"/>
      <c r="H1279" s="176">
        <f t="shared" si="75"/>
        <v>4839.75</v>
      </c>
      <c r="I1279" s="63">
        <f t="shared" si="76"/>
        <v>4839.75</v>
      </c>
      <c r="J1279" s="42"/>
      <c r="K1279" s="75"/>
      <c r="L1279" s="201"/>
    </row>
    <row r="1280" spans="1:12" ht="24" outlineLevel="1" x14ac:dyDescent="0.2">
      <c r="A1280" s="62" t="s">
        <v>334</v>
      </c>
      <c r="B1280" s="112">
        <v>43070</v>
      </c>
      <c r="C1280" s="107">
        <v>43524</v>
      </c>
      <c r="D1280" s="108">
        <v>5</v>
      </c>
      <c r="E1280" s="173"/>
      <c r="F1280" s="173">
        <v>1929.04</v>
      </c>
      <c r="G1280" s="164"/>
      <c r="H1280" s="176">
        <f t="shared" si="75"/>
        <v>1929.04</v>
      </c>
      <c r="I1280" s="63">
        <f t="shared" si="76"/>
        <v>1929.04</v>
      </c>
      <c r="J1280" s="75"/>
      <c r="K1280" s="75"/>
      <c r="L1280" s="201"/>
    </row>
    <row r="1281" spans="1:12" ht="24" outlineLevel="1" x14ac:dyDescent="0.2">
      <c r="A1281" s="62" t="s">
        <v>155</v>
      </c>
      <c r="B1281" s="112">
        <v>42948</v>
      </c>
      <c r="C1281" s="107">
        <v>43465</v>
      </c>
      <c r="D1281" s="108">
        <v>25</v>
      </c>
      <c r="E1281" s="173">
        <v>86952.01</v>
      </c>
      <c r="F1281" s="173">
        <v>8299.4699999999993</v>
      </c>
      <c r="G1281" s="164"/>
      <c r="H1281" s="176">
        <f t="shared" si="75"/>
        <v>95251.48</v>
      </c>
      <c r="I1281" s="63">
        <f t="shared" si="76"/>
        <v>95251.48</v>
      </c>
      <c r="J1281" s="42"/>
      <c r="K1281" s="75"/>
      <c r="L1281" s="201"/>
    </row>
    <row r="1282" spans="1:12" ht="24" outlineLevel="1" x14ac:dyDescent="0.2">
      <c r="A1282" s="62" t="s">
        <v>1225</v>
      </c>
      <c r="B1282" s="112">
        <v>43221</v>
      </c>
      <c r="C1282" s="107">
        <v>43434</v>
      </c>
      <c r="D1282" s="108">
        <v>10</v>
      </c>
      <c r="E1282" s="173">
        <v>15035</v>
      </c>
      <c r="F1282" s="173"/>
      <c r="G1282" s="164"/>
      <c r="H1282" s="176">
        <f t="shared" si="75"/>
        <v>15035</v>
      </c>
      <c r="I1282" s="63">
        <f t="shared" si="76"/>
        <v>15035</v>
      </c>
      <c r="J1282" s="42"/>
      <c r="K1282" s="75"/>
      <c r="L1282" s="201"/>
    </row>
    <row r="1283" spans="1:12" ht="24" outlineLevel="1" x14ac:dyDescent="0.2">
      <c r="A1283" s="62" t="s">
        <v>1226</v>
      </c>
      <c r="B1283" s="112">
        <v>43252</v>
      </c>
      <c r="C1283" s="137">
        <v>43496</v>
      </c>
      <c r="D1283" s="108">
        <v>5</v>
      </c>
      <c r="E1283" s="173"/>
      <c r="F1283" s="173">
        <v>2314.6</v>
      </c>
      <c r="G1283" s="164"/>
      <c r="H1283" s="176">
        <f t="shared" si="75"/>
        <v>2314.6</v>
      </c>
      <c r="I1283" s="63">
        <f t="shared" si="76"/>
        <v>2314.6</v>
      </c>
      <c r="J1283" s="42"/>
      <c r="K1283" s="75"/>
      <c r="L1283" s="201"/>
    </row>
    <row r="1284" spans="1:12" ht="36" outlineLevel="1" x14ac:dyDescent="0.2">
      <c r="A1284" s="62" t="s">
        <v>1227</v>
      </c>
      <c r="B1284" s="112">
        <v>43221</v>
      </c>
      <c r="C1284" s="137">
        <v>43496</v>
      </c>
      <c r="D1284" s="108">
        <v>10</v>
      </c>
      <c r="E1284" s="173">
        <v>18181</v>
      </c>
      <c r="F1284" s="173"/>
      <c r="G1284" s="164"/>
      <c r="H1284" s="176">
        <f t="shared" si="75"/>
        <v>18181</v>
      </c>
      <c r="I1284" s="63">
        <f t="shared" si="76"/>
        <v>18181</v>
      </c>
      <c r="J1284" s="75"/>
      <c r="K1284" s="75"/>
      <c r="L1284" s="201"/>
    </row>
    <row r="1285" spans="1:12" ht="12.75" outlineLevel="1" x14ac:dyDescent="0.2">
      <c r="A1285" s="62" t="s">
        <v>518</v>
      </c>
      <c r="B1285" s="112">
        <v>43160</v>
      </c>
      <c r="C1285" s="107">
        <v>43343</v>
      </c>
      <c r="D1285" s="108">
        <v>10</v>
      </c>
      <c r="E1285" s="173"/>
      <c r="F1285" s="173">
        <v>5001.8599999999997</v>
      </c>
      <c r="G1285" s="164"/>
      <c r="H1285" s="176">
        <f t="shared" si="75"/>
        <v>5001.8599999999997</v>
      </c>
      <c r="I1285" s="63">
        <f t="shared" si="76"/>
        <v>5001.8599999999997</v>
      </c>
      <c r="J1285" s="75"/>
      <c r="K1285" s="75"/>
      <c r="L1285" s="201"/>
    </row>
    <row r="1286" spans="1:12" ht="12.75" outlineLevel="1" x14ac:dyDescent="0.2">
      <c r="A1286" s="62" t="s">
        <v>335</v>
      </c>
      <c r="B1286" s="112">
        <v>43070</v>
      </c>
      <c r="C1286" s="107">
        <v>43585</v>
      </c>
      <c r="D1286" s="108">
        <v>10</v>
      </c>
      <c r="E1286" s="173">
        <v>1600</v>
      </c>
      <c r="F1286" s="173">
        <v>5186.6899999999996</v>
      </c>
      <c r="G1286" s="164"/>
      <c r="H1286" s="176">
        <f t="shared" si="75"/>
        <v>6786.69</v>
      </c>
      <c r="I1286" s="63">
        <f t="shared" si="76"/>
        <v>6786.69</v>
      </c>
      <c r="J1286" s="42"/>
      <c r="K1286" s="75"/>
      <c r="L1286" s="201"/>
    </row>
    <row r="1287" spans="1:12" ht="24" outlineLevel="1" x14ac:dyDescent="0.2">
      <c r="A1287" s="62" t="s">
        <v>1228</v>
      </c>
      <c r="B1287" s="112">
        <v>43221</v>
      </c>
      <c r="C1287" s="137">
        <v>43404</v>
      </c>
      <c r="D1287" s="108">
        <v>5</v>
      </c>
      <c r="E1287" s="173"/>
      <c r="F1287" s="173">
        <v>4166.2700000000004</v>
      </c>
      <c r="G1287" s="164"/>
      <c r="H1287" s="176">
        <f t="shared" ref="H1287:H1342" si="77">F1287+E1287+G1287</f>
        <v>4166.2700000000004</v>
      </c>
      <c r="I1287" s="63">
        <f t="shared" ref="I1287:I1350" si="78">H1287</f>
        <v>4166.2700000000004</v>
      </c>
      <c r="J1287" s="42"/>
      <c r="K1287" s="75"/>
      <c r="L1287" s="201"/>
    </row>
    <row r="1288" spans="1:12" ht="24" outlineLevel="1" x14ac:dyDescent="0.2">
      <c r="A1288" s="62" t="s">
        <v>1229</v>
      </c>
      <c r="B1288" s="112">
        <v>43221</v>
      </c>
      <c r="C1288" s="137">
        <v>43404</v>
      </c>
      <c r="D1288" s="108">
        <v>5</v>
      </c>
      <c r="E1288" s="173"/>
      <c r="F1288" s="173">
        <v>2660.1</v>
      </c>
      <c r="G1288" s="164"/>
      <c r="H1288" s="176">
        <f t="shared" si="77"/>
        <v>2660.1</v>
      </c>
      <c r="I1288" s="63">
        <f t="shared" si="78"/>
        <v>2660.1</v>
      </c>
      <c r="J1288" s="42"/>
      <c r="K1288" s="75"/>
      <c r="L1288" s="201"/>
    </row>
    <row r="1289" spans="1:12" ht="24" outlineLevel="1" x14ac:dyDescent="0.2">
      <c r="A1289" s="62" t="s">
        <v>1230</v>
      </c>
      <c r="B1289" s="112">
        <v>43252</v>
      </c>
      <c r="C1289" s="137">
        <v>43404</v>
      </c>
      <c r="D1289" s="108">
        <v>5</v>
      </c>
      <c r="E1289" s="173"/>
      <c r="F1289" s="173">
        <v>1633.83</v>
      </c>
      <c r="G1289" s="164"/>
      <c r="H1289" s="176">
        <f t="shared" si="77"/>
        <v>1633.83</v>
      </c>
      <c r="I1289" s="63">
        <f t="shared" si="78"/>
        <v>1633.83</v>
      </c>
      <c r="J1289" s="42"/>
      <c r="K1289" s="75"/>
      <c r="L1289" s="201"/>
    </row>
    <row r="1290" spans="1:12" ht="12.75" outlineLevel="1" x14ac:dyDescent="0.2">
      <c r="A1290" s="62" t="s">
        <v>1231</v>
      </c>
      <c r="B1290" s="112">
        <v>43221</v>
      </c>
      <c r="C1290" s="107">
        <v>43555</v>
      </c>
      <c r="D1290" s="108">
        <v>15</v>
      </c>
      <c r="E1290" s="173">
        <v>13542</v>
      </c>
      <c r="F1290" s="173">
        <v>3153.67</v>
      </c>
      <c r="G1290" s="164"/>
      <c r="H1290" s="176">
        <f t="shared" si="77"/>
        <v>16695.669999999998</v>
      </c>
      <c r="I1290" s="63">
        <f t="shared" si="78"/>
        <v>16695.669999999998</v>
      </c>
      <c r="J1290" s="42"/>
      <c r="K1290" s="75"/>
      <c r="L1290" s="201"/>
    </row>
    <row r="1291" spans="1:12" ht="12.75" outlineLevel="1" x14ac:dyDescent="0.2">
      <c r="A1291" s="62" t="s">
        <v>519</v>
      </c>
      <c r="B1291" s="112">
        <v>43132</v>
      </c>
      <c r="C1291" s="107">
        <v>43373</v>
      </c>
      <c r="D1291" s="108">
        <v>5</v>
      </c>
      <c r="E1291" s="173"/>
      <c r="F1291" s="173">
        <v>2411.2800000000002</v>
      </c>
      <c r="G1291" s="164"/>
      <c r="H1291" s="176">
        <f t="shared" si="77"/>
        <v>2411.2800000000002</v>
      </c>
      <c r="I1291" s="63">
        <f t="shared" si="78"/>
        <v>2411.2800000000002</v>
      </c>
      <c r="J1291" s="42"/>
      <c r="K1291" s="75"/>
      <c r="L1291" s="201"/>
    </row>
    <row r="1292" spans="1:12" ht="24" outlineLevel="1" x14ac:dyDescent="0.2">
      <c r="A1292" s="62" t="s">
        <v>156</v>
      </c>
      <c r="B1292" s="112">
        <v>42826</v>
      </c>
      <c r="C1292" s="107">
        <v>43465</v>
      </c>
      <c r="D1292" s="108">
        <v>5</v>
      </c>
      <c r="E1292" s="173"/>
      <c r="F1292" s="173">
        <v>8299.4599999999991</v>
      </c>
      <c r="G1292" s="164"/>
      <c r="H1292" s="176">
        <f t="shared" si="77"/>
        <v>8299.4599999999991</v>
      </c>
      <c r="I1292" s="63">
        <f t="shared" si="78"/>
        <v>8299.4599999999991</v>
      </c>
      <c r="J1292" s="42"/>
      <c r="K1292" s="75"/>
      <c r="L1292" s="201"/>
    </row>
    <row r="1293" spans="1:12" ht="24" outlineLevel="1" x14ac:dyDescent="0.2">
      <c r="A1293" s="62" t="s">
        <v>1232</v>
      </c>
      <c r="B1293" s="112">
        <v>43221</v>
      </c>
      <c r="C1293" s="107">
        <v>43524</v>
      </c>
      <c r="D1293" s="108">
        <v>5</v>
      </c>
      <c r="E1293" s="173"/>
      <c r="F1293" s="173">
        <v>3623.98</v>
      </c>
      <c r="G1293" s="164"/>
      <c r="H1293" s="176">
        <f t="shared" si="77"/>
        <v>3623.98</v>
      </c>
      <c r="I1293" s="63">
        <f t="shared" si="78"/>
        <v>3623.98</v>
      </c>
      <c r="J1293" s="42"/>
      <c r="K1293" s="75"/>
      <c r="L1293" s="201"/>
    </row>
    <row r="1294" spans="1:12" ht="24" outlineLevel="1" x14ac:dyDescent="0.2">
      <c r="A1294" s="62" t="s">
        <v>336</v>
      </c>
      <c r="B1294" s="112">
        <v>43070</v>
      </c>
      <c r="C1294" s="107">
        <v>43373</v>
      </c>
      <c r="D1294" s="108">
        <v>5</v>
      </c>
      <c r="E1294" s="173"/>
      <c r="F1294" s="173">
        <v>8455.65</v>
      </c>
      <c r="G1294" s="164"/>
      <c r="H1294" s="176">
        <f t="shared" si="77"/>
        <v>8455.65</v>
      </c>
      <c r="I1294" s="63">
        <f t="shared" si="78"/>
        <v>8455.65</v>
      </c>
      <c r="J1294" s="42"/>
      <c r="K1294" s="75"/>
      <c r="L1294" s="201"/>
    </row>
    <row r="1295" spans="1:12" ht="24" outlineLevel="1" x14ac:dyDescent="0.2">
      <c r="A1295" s="62" t="s">
        <v>1233</v>
      </c>
      <c r="B1295" s="112">
        <v>43221</v>
      </c>
      <c r="C1295" s="107">
        <v>43524</v>
      </c>
      <c r="D1295" s="108">
        <v>5</v>
      </c>
      <c r="E1295" s="173"/>
      <c r="F1295" s="173">
        <v>980.29</v>
      </c>
      <c r="G1295" s="164"/>
      <c r="H1295" s="176">
        <f t="shared" si="77"/>
        <v>980.29</v>
      </c>
      <c r="I1295" s="63">
        <f t="shared" si="78"/>
        <v>980.29</v>
      </c>
      <c r="J1295" s="42"/>
      <c r="K1295" s="75"/>
      <c r="L1295" s="201"/>
    </row>
    <row r="1296" spans="1:12" ht="24" outlineLevel="1" x14ac:dyDescent="0.2">
      <c r="A1296" s="62" t="s">
        <v>1234</v>
      </c>
      <c r="B1296" s="112">
        <v>43191</v>
      </c>
      <c r="C1296" s="107">
        <v>43434</v>
      </c>
      <c r="D1296" s="108">
        <v>5</v>
      </c>
      <c r="E1296" s="173"/>
      <c r="F1296" s="173">
        <v>2398.5</v>
      </c>
      <c r="G1296" s="164"/>
      <c r="H1296" s="176">
        <f t="shared" si="77"/>
        <v>2398.5</v>
      </c>
      <c r="I1296" s="63">
        <f t="shared" si="78"/>
        <v>2398.5</v>
      </c>
      <c r="J1296" s="42"/>
      <c r="K1296" s="75"/>
      <c r="L1296" s="201"/>
    </row>
    <row r="1297" spans="1:12" ht="24" outlineLevel="1" x14ac:dyDescent="0.2">
      <c r="A1297" s="62" t="s">
        <v>520</v>
      </c>
      <c r="B1297" s="112">
        <v>43132</v>
      </c>
      <c r="C1297" s="107">
        <v>43404</v>
      </c>
      <c r="D1297" s="108">
        <v>5</v>
      </c>
      <c r="E1297" s="173"/>
      <c r="F1297" s="173">
        <v>1929.04</v>
      </c>
      <c r="G1297" s="164"/>
      <c r="H1297" s="176">
        <f t="shared" si="77"/>
        <v>1929.04</v>
      </c>
      <c r="I1297" s="63">
        <f t="shared" si="78"/>
        <v>1929.04</v>
      </c>
      <c r="J1297" s="42"/>
      <c r="K1297" s="75"/>
      <c r="L1297" s="201"/>
    </row>
    <row r="1298" spans="1:12" ht="24" outlineLevel="1" x14ac:dyDescent="0.2">
      <c r="A1298" s="62" t="s">
        <v>157</v>
      </c>
      <c r="B1298" s="112">
        <v>42948</v>
      </c>
      <c r="C1298" s="107">
        <v>43524</v>
      </c>
      <c r="D1298" s="108">
        <v>5</v>
      </c>
      <c r="E1298" s="173"/>
      <c r="F1298" s="173">
        <v>8299.4599999999991</v>
      </c>
      <c r="G1298" s="164"/>
      <c r="H1298" s="176">
        <f t="shared" si="77"/>
        <v>8299.4599999999991</v>
      </c>
      <c r="I1298" s="63">
        <f t="shared" si="78"/>
        <v>8299.4599999999991</v>
      </c>
      <c r="J1298" s="42"/>
      <c r="K1298" s="75"/>
      <c r="L1298" s="201"/>
    </row>
    <row r="1299" spans="1:12" ht="24" outlineLevel="1" x14ac:dyDescent="0.2">
      <c r="A1299" s="62" t="s">
        <v>1235</v>
      </c>
      <c r="B1299" s="112">
        <v>43221</v>
      </c>
      <c r="C1299" s="107">
        <v>43524</v>
      </c>
      <c r="D1299" s="108">
        <v>5</v>
      </c>
      <c r="E1299" s="173"/>
      <c r="F1299" s="173">
        <v>3623.98</v>
      </c>
      <c r="G1299" s="164"/>
      <c r="H1299" s="176">
        <f t="shared" si="77"/>
        <v>3623.98</v>
      </c>
      <c r="I1299" s="63">
        <f t="shared" si="78"/>
        <v>3623.98</v>
      </c>
      <c r="J1299" s="42"/>
      <c r="K1299" s="75"/>
      <c r="L1299" s="201"/>
    </row>
    <row r="1300" spans="1:12" ht="24" outlineLevel="1" x14ac:dyDescent="0.2">
      <c r="A1300" s="62" t="s">
        <v>337</v>
      </c>
      <c r="B1300" s="112">
        <v>43070</v>
      </c>
      <c r="C1300" s="107">
        <v>43496</v>
      </c>
      <c r="D1300" s="108">
        <v>5</v>
      </c>
      <c r="E1300" s="173"/>
      <c r="F1300" s="173">
        <v>6881.74</v>
      </c>
      <c r="G1300" s="164"/>
      <c r="H1300" s="176">
        <f t="shared" si="77"/>
        <v>6881.74</v>
      </c>
      <c r="I1300" s="63">
        <f t="shared" si="78"/>
        <v>6881.74</v>
      </c>
      <c r="J1300" s="42"/>
      <c r="K1300" s="75"/>
      <c r="L1300" s="201"/>
    </row>
    <row r="1301" spans="1:12" ht="24" outlineLevel="1" x14ac:dyDescent="0.2">
      <c r="A1301" s="62" t="s">
        <v>338</v>
      </c>
      <c r="B1301" s="112">
        <v>43040</v>
      </c>
      <c r="C1301" s="107">
        <v>43616</v>
      </c>
      <c r="D1301" s="108">
        <v>5</v>
      </c>
      <c r="E1301" s="173"/>
      <c r="F1301" s="173">
        <v>1361.67</v>
      </c>
      <c r="G1301" s="164"/>
      <c r="H1301" s="176">
        <f t="shared" si="77"/>
        <v>1361.67</v>
      </c>
      <c r="I1301" s="63">
        <f t="shared" si="78"/>
        <v>1361.67</v>
      </c>
      <c r="J1301" s="42"/>
      <c r="K1301" s="75"/>
      <c r="L1301" s="201"/>
    </row>
    <row r="1302" spans="1:12" ht="24" outlineLevel="1" x14ac:dyDescent="0.2">
      <c r="A1302" s="62" t="s">
        <v>158</v>
      </c>
      <c r="B1302" s="112">
        <v>42887</v>
      </c>
      <c r="C1302" s="107">
        <v>43524</v>
      </c>
      <c r="D1302" s="108">
        <v>5</v>
      </c>
      <c r="E1302" s="173"/>
      <c r="F1302" s="173">
        <v>6710.26</v>
      </c>
      <c r="G1302" s="164"/>
      <c r="H1302" s="176">
        <f t="shared" si="77"/>
        <v>6710.26</v>
      </c>
      <c r="I1302" s="63">
        <f t="shared" si="78"/>
        <v>6710.26</v>
      </c>
      <c r="J1302" s="42"/>
      <c r="K1302" s="75"/>
      <c r="L1302" s="201"/>
    </row>
    <row r="1303" spans="1:12" ht="36" outlineLevel="1" x14ac:dyDescent="0.2">
      <c r="A1303" s="62" t="s">
        <v>339</v>
      </c>
      <c r="B1303" s="112">
        <v>43070</v>
      </c>
      <c r="C1303" s="107">
        <v>43434</v>
      </c>
      <c r="D1303" s="108">
        <v>5</v>
      </c>
      <c r="E1303" s="173"/>
      <c r="F1303" s="173">
        <v>3444.72</v>
      </c>
      <c r="G1303" s="164"/>
      <c r="H1303" s="176">
        <f t="shared" si="77"/>
        <v>3444.72</v>
      </c>
      <c r="I1303" s="63">
        <f t="shared" si="78"/>
        <v>3444.72</v>
      </c>
      <c r="J1303" s="42"/>
      <c r="K1303" s="75"/>
      <c r="L1303" s="201"/>
    </row>
    <row r="1304" spans="1:12" ht="36" outlineLevel="1" x14ac:dyDescent="0.2">
      <c r="A1304" s="62" t="s">
        <v>159</v>
      </c>
      <c r="B1304" s="112">
        <v>42675</v>
      </c>
      <c r="C1304" s="137">
        <v>43465</v>
      </c>
      <c r="D1304" s="108">
        <v>5</v>
      </c>
      <c r="E1304" s="173"/>
      <c r="F1304" s="173">
        <v>1962.52</v>
      </c>
      <c r="G1304" s="164"/>
      <c r="H1304" s="176">
        <f t="shared" si="77"/>
        <v>1962.52</v>
      </c>
      <c r="I1304" s="63">
        <f t="shared" si="78"/>
        <v>1962.52</v>
      </c>
      <c r="J1304" s="42"/>
      <c r="K1304" s="75"/>
      <c r="L1304" s="201"/>
    </row>
    <row r="1305" spans="1:12" ht="24" outlineLevel="1" x14ac:dyDescent="0.2">
      <c r="A1305" s="62" t="s">
        <v>160</v>
      </c>
      <c r="B1305" s="112">
        <v>42948</v>
      </c>
      <c r="C1305" s="107">
        <v>43524</v>
      </c>
      <c r="D1305" s="108">
        <v>15</v>
      </c>
      <c r="E1305" s="173">
        <v>45000</v>
      </c>
      <c r="F1305" s="173">
        <v>9025.4599999999991</v>
      </c>
      <c r="G1305" s="164"/>
      <c r="H1305" s="176">
        <f t="shared" si="77"/>
        <v>54025.46</v>
      </c>
      <c r="I1305" s="63">
        <f t="shared" si="78"/>
        <v>54025.46</v>
      </c>
      <c r="J1305" s="42"/>
      <c r="K1305" s="75"/>
      <c r="L1305" s="201"/>
    </row>
    <row r="1306" spans="1:12" ht="24" outlineLevel="1" x14ac:dyDescent="0.2">
      <c r="A1306" s="62" t="s">
        <v>161</v>
      </c>
      <c r="B1306" s="112">
        <v>42887</v>
      </c>
      <c r="C1306" s="137">
        <v>43373</v>
      </c>
      <c r="D1306" s="108">
        <v>10</v>
      </c>
      <c r="E1306" s="173">
        <v>15000</v>
      </c>
      <c r="F1306" s="173">
        <v>4471.3900000000003</v>
      </c>
      <c r="G1306" s="164"/>
      <c r="H1306" s="176">
        <f t="shared" si="77"/>
        <v>19471.39</v>
      </c>
      <c r="I1306" s="63">
        <f t="shared" si="78"/>
        <v>19471.39</v>
      </c>
      <c r="J1306" s="42"/>
      <c r="K1306" s="75"/>
      <c r="L1306" s="201"/>
    </row>
    <row r="1307" spans="1:12" ht="24" outlineLevel="1" x14ac:dyDescent="0.2">
      <c r="A1307" s="62" t="s">
        <v>1236</v>
      </c>
      <c r="B1307" s="112">
        <v>43221</v>
      </c>
      <c r="C1307" s="137">
        <v>43496</v>
      </c>
      <c r="D1307" s="108">
        <v>5</v>
      </c>
      <c r="E1307" s="173"/>
      <c r="F1307" s="173">
        <v>2116.0300000000002</v>
      </c>
      <c r="G1307" s="164"/>
      <c r="H1307" s="176">
        <f t="shared" si="77"/>
        <v>2116.0300000000002</v>
      </c>
      <c r="I1307" s="63">
        <f t="shared" si="78"/>
        <v>2116.0300000000002</v>
      </c>
      <c r="J1307" s="42"/>
      <c r="K1307" s="75"/>
      <c r="L1307" s="201"/>
    </row>
    <row r="1308" spans="1:12" ht="24" outlineLevel="1" x14ac:dyDescent="0.2">
      <c r="A1308" s="62" t="s">
        <v>1237</v>
      </c>
      <c r="B1308" s="112">
        <v>43221</v>
      </c>
      <c r="C1308" s="137">
        <v>43373</v>
      </c>
      <c r="D1308" s="108">
        <v>5</v>
      </c>
      <c r="E1308" s="173"/>
      <c r="F1308" s="173">
        <v>4166.2700000000004</v>
      </c>
      <c r="G1308" s="164"/>
      <c r="H1308" s="176">
        <f t="shared" si="77"/>
        <v>4166.2700000000004</v>
      </c>
      <c r="I1308" s="63">
        <f t="shared" si="78"/>
        <v>4166.2700000000004</v>
      </c>
      <c r="J1308" s="42"/>
      <c r="K1308" s="75"/>
      <c r="L1308" s="201"/>
    </row>
    <row r="1309" spans="1:12" ht="24" outlineLevel="1" x14ac:dyDescent="0.2">
      <c r="A1309" s="62" t="s">
        <v>1238</v>
      </c>
      <c r="B1309" s="112">
        <v>43221</v>
      </c>
      <c r="C1309" s="137">
        <v>43373</v>
      </c>
      <c r="D1309" s="108">
        <v>5</v>
      </c>
      <c r="E1309" s="173"/>
      <c r="F1309" s="173">
        <v>4166.2700000000004</v>
      </c>
      <c r="G1309" s="164"/>
      <c r="H1309" s="176">
        <f t="shared" si="77"/>
        <v>4166.2700000000004</v>
      </c>
      <c r="I1309" s="63">
        <f t="shared" si="78"/>
        <v>4166.2700000000004</v>
      </c>
      <c r="J1309" s="42"/>
      <c r="K1309" s="75"/>
      <c r="L1309" s="201"/>
    </row>
    <row r="1310" spans="1:12" ht="24" outlineLevel="1" x14ac:dyDescent="0.2">
      <c r="A1310" s="62" t="s">
        <v>340</v>
      </c>
      <c r="B1310" s="112">
        <v>43070</v>
      </c>
      <c r="C1310" s="107">
        <v>43524</v>
      </c>
      <c r="D1310" s="108">
        <v>5</v>
      </c>
      <c r="E1310" s="173"/>
      <c r="F1310" s="173">
        <v>6881.45</v>
      </c>
      <c r="G1310" s="164"/>
      <c r="H1310" s="176">
        <f t="shared" si="77"/>
        <v>6881.45</v>
      </c>
      <c r="I1310" s="63">
        <f t="shared" si="78"/>
        <v>6881.45</v>
      </c>
      <c r="J1310" s="42"/>
      <c r="K1310" s="75"/>
      <c r="L1310" s="201"/>
    </row>
    <row r="1311" spans="1:12" ht="12.75" outlineLevel="1" x14ac:dyDescent="0.2">
      <c r="A1311" s="62" t="s">
        <v>1239</v>
      </c>
      <c r="B1311" s="112">
        <v>43191</v>
      </c>
      <c r="C1311" s="137">
        <v>43555</v>
      </c>
      <c r="D1311" s="108">
        <v>5</v>
      </c>
      <c r="E1311" s="173"/>
      <c r="F1311" s="173">
        <v>980.29</v>
      </c>
      <c r="G1311" s="164"/>
      <c r="H1311" s="176">
        <f t="shared" si="77"/>
        <v>980.29</v>
      </c>
      <c r="I1311" s="63">
        <f t="shared" si="78"/>
        <v>980.29</v>
      </c>
      <c r="J1311" s="42"/>
      <c r="K1311" s="75"/>
      <c r="L1311" s="201"/>
    </row>
    <row r="1312" spans="1:12" ht="12.75" outlineLevel="1" x14ac:dyDescent="0.2">
      <c r="A1312" s="62" t="s">
        <v>521</v>
      </c>
      <c r="B1312" s="112">
        <v>43132</v>
      </c>
      <c r="C1312" s="107">
        <v>43343</v>
      </c>
      <c r="D1312" s="108">
        <v>5</v>
      </c>
      <c r="E1312" s="173"/>
      <c r="F1312" s="173">
        <v>583.58000000000004</v>
      </c>
      <c r="G1312" s="164"/>
      <c r="H1312" s="176">
        <f t="shared" si="77"/>
        <v>583.58000000000004</v>
      </c>
      <c r="I1312" s="63">
        <f t="shared" si="78"/>
        <v>583.58000000000004</v>
      </c>
      <c r="J1312" s="42"/>
      <c r="K1312" s="75"/>
      <c r="L1312" s="201"/>
    </row>
    <row r="1313" spans="1:12" ht="24" outlineLevel="1" x14ac:dyDescent="0.2">
      <c r="A1313" s="62" t="s">
        <v>162</v>
      </c>
      <c r="B1313" s="112">
        <v>42948</v>
      </c>
      <c r="C1313" s="107">
        <v>43312</v>
      </c>
      <c r="D1313" s="108">
        <v>60</v>
      </c>
      <c r="E1313" s="173">
        <v>210200</v>
      </c>
      <c r="F1313" s="173">
        <v>8910.6299999999992</v>
      </c>
      <c r="G1313" s="164"/>
      <c r="H1313" s="176">
        <f t="shared" si="77"/>
        <v>219110.63</v>
      </c>
      <c r="I1313" s="63">
        <f t="shared" si="78"/>
        <v>219110.63</v>
      </c>
      <c r="J1313" s="42"/>
      <c r="K1313" s="75"/>
      <c r="L1313" s="201"/>
    </row>
    <row r="1314" spans="1:12" ht="24" outlineLevel="1" x14ac:dyDescent="0.2">
      <c r="A1314" s="62" t="s">
        <v>163</v>
      </c>
      <c r="B1314" s="112">
        <v>42826</v>
      </c>
      <c r="C1314" s="107">
        <v>43404</v>
      </c>
      <c r="D1314" s="108">
        <v>5</v>
      </c>
      <c r="E1314" s="173"/>
      <c r="F1314" s="173">
        <v>8316.27</v>
      </c>
      <c r="G1314" s="164"/>
      <c r="H1314" s="176">
        <f t="shared" si="77"/>
        <v>8316.27</v>
      </c>
      <c r="I1314" s="63">
        <f t="shared" si="78"/>
        <v>8316.27</v>
      </c>
      <c r="J1314" s="42"/>
      <c r="K1314" s="75"/>
      <c r="L1314" s="201"/>
    </row>
    <row r="1315" spans="1:12" ht="24" outlineLevel="1" x14ac:dyDescent="0.2">
      <c r="A1315" s="62" t="s">
        <v>1240</v>
      </c>
      <c r="B1315" s="112">
        <v>43221</v>
      </c>
      <c r="C1315" s="107">
        <v>43465</v>
      </c>
      <c r="D1315" s="108">
        <v>5</v>
      </c>
      <c r="E1315" s="173"/>
      <c r="F1315" s="173">
        <v>2645.26</v>
      </c>
      <c r="G1315" s="164"/>
      <c r="H1315" s="176">
        <f t="shared" si="77"/>
        <v>2645.26</v>
      </c>
      <c r="I1315" s="63">
        <f t="shared" si="78"/>
        <v>2645.26</v>
      </c>
      <c r="J1315" s="42"/>
      <c r="K1315" s="75"/>
      <c r="L1315" s="201"/>
    </row>
    <row r="1316" spans="1:12" ht="24" outlineLevel="1" x14ac:dyDescent="0.2">
      <c r="A1316" s="62" t="s">
        <v>164</v>
      </c>
      <c r="B1316" s="112">
        <v>42948</v>
      </c>
      <c r="C1316" s="137">
        <v>43555</v>
      </c>
      <c r="D1316" s="108">
        <v>15</v>
      </c>
      <c r="E1316" s="173">
        <v>45000</v>
      </c>
      <c r="F1316" s="173">
        <v>9025.4699999999993</v>
      </c>
      <c r="G1316" s="164"/>
      <c r="H1316" s="176">
        <f t="shared" si="77"/>
        <v>54025.47</v>
      </c>
      <c r="I1316" s="63">
        <f t="shared" si="78"/>
        <v>54025.47</v>
      </c>
      <c r="J1316" s="42"/>
      <c r="K1316" s="75"/>
      <c r="L1316" s="201"/>
    </row>
    <row r="1317" spans="1:12" ht="24" outlineLevel="1" x14ac:dyDescent="0.2">
      <c r="A1317" s="62" t="s">
        <v>522</v>
      </c>
      <c r="B1317" s="112">
        <v>43101</v>
      </c>
      <c r="C1317" s="107">
        <v>43585</v>
      </c>
      <c r="D1317" s="108">
        <v>15</v>
      </c>
      <c r="E1317" s="173">
        <v>14500</v>
      </c>
      <c r="F1317" s="173">
        <v>4265.47</v>
      </c>
      <c r="G1317" s="164"/>
      <c r="H1317" s="176">
        <f t="shared" si="77"/>
        <v>18765.47</v>
      </c>
      <c r="I1317" s="63">
        <f t="shared" si="78"/>
        <v>18765.47</v>
      </c>
      <c r="J1317" s="42"/>
      <c r="K1317" s="75"/>
      <c r="L1317" s="201"/>
    </row>
    <row r="1318" spans="1:12" ht="24" outlineLevel="1" x14ac:dyDescent="0.2">
      <c r="A1318" s="62" t="s">
        <v>165</v>
      </c>
      <c r="B1318" s="112">
        <v>42705</v>
      </c>
      <c r="C1318" s="107">
        <v>43465</v>
      </c>
      <c r="D1318" s="108">
        <v>15</v>
      </c>
      <c r="E1318" s="173">
        <v>22400</v>
      </c>
      <c r="F1318" s="173">
        <v>9401.24</v>
      </c>
      <c r="G1318" s="164"/>
      <c r="H1318" s="176">
        <f t="shared" si="77"/>
        <v>31801.239999999998</v>
      </c>
      <c r="I1318" s="63">
        <f t="shared" si="78"/>
        <v>31801.239999999998</v>
      </c>
      <c r="J1318" s="42"/>
      <c r="K1318" s="75"/>
      <c r="L1318" s="201"/>
    </row>
    <row r="1319" spans="1:12" ht="36" outlineLevel="1" x14ac:dyDescent="0.2">
      <c r="A1319" s="62" t="s">
        <v>166</v>
      </c>
      <c r="B1319" s="112">
        <v>42979</v>
      </c>
      <c r="C1319" s="137">
        <v>43496</v>
      </c>
      <c r="D1319" s="108">
        <v>5</v>
      </c>
      <c r="E1319" s="173"/>
      <c r="F1319" s="173">
        <v>2107.34</v>
      </c>
      <c r="G1319" s="164"/>
      <c r="H1319" s="176">
        <f t="shared" si="77"/>
        <v>2107.34</v>
      </c>
      <c r="I1319" s="63">
        <f t="shared" si="78"/>
        <v>2107.34</v>
      </c>
      <c r="J1319" s="42"/>
      <c r="K1319" s="75"/>
      <c r="L1319" s="201"/>
    </row>
    <row r="1320" spans="1:12" ht="24" outlineLevel="1" x14ac:dyDescent="0.2">
      <c r="A1320" s="62" t="s">
        <v>341</v>
      </c>
      <c r="B1320" s="112">
        <v>43009</v>
      </c>
      <c r="C1320" s="107">
        <v>43465</v>
      </c>
      <c r="D1320" s="108">
        <v>15</v>
      </c>
      <c r="E1320" s="173">
        <v>15000</v>
      </c>
      <c r="F1320" s="173">
        <v>5017.8500000000004</v>
      </c>
      <c r="G1320" s="164"/>
      <c r="H1320" s="176">
        <f t="shared" si="77"/>
        <v>20017.849999999999</v>
      </c>
      <c r="I1320" s="63">
        <f t="shared" si="78"/>
        <v>20017.849999999999</v>
      </c>
      <c r="J1320" s="42"/>
      <c r="K1320" s="75"/>
      <c r="L1320" s="201"/>
    </row>
    <row r="1321" spans="1:12" ht="24" outlineLevel="1" x14ac:dyDescent="0.2">
      <c r="A1321" s="62" t="s">
        <v>167</v>
      </c>
      <c r="B1321" s="112">
        <v>42795</v>
      </c>
      <c r="C1321" s="107">
        <v>43465</v>
      </c>
      <c r="D1321" s="108">
        <v>50</v>
      </c>
      <c r="E1321" s="173">
        <v>85799.99</v>
      </c>
      <c r="F1321" s="173">
        <v>8265.42</v>
      </c>
      <c r="G1321" s="164"/>
      <c r="H1321" s="176">
        <f t="shared" si="77"/>
        <v>94065.41</v>
      </c>
      <c r="I1321" s="63">
        <f t="shared" si="78"/>
        <v>94065.41</v>
      </c>
      <c r="J1321" s="42"/>
      <c r="K1321" s="75"/>
      <c r="L1321" s="201"/>
    </row>
    <row r="1322" spans="1:12" ht="24" outlineLevel="1" x14ac:dyDescent="0.2">
      <c r="A1322" s="62" t="s">
        <v>342</v>
      </c>
      <c r="B1322" s="112">
        <v>43040</v>
      </c>
      <c r="C1322" s="107">
        <v>43496</v>
      </c>
      <c r="D1322" s="108">
        <v>5</v>
      </c>
      <c r="E1322" s="173"/>
      <c r="F1322" s="173">
        <v>5413.64</v>
      </c>
      <c r="G1322" s="164"/>
      <c r="H1322" s="176">
        <f t="shared" si="77"/>
        <v>5413.64</v>
      </c>
      <c r="I1322" s="63">
        <f t="shared" si="78"/>
        <v>5413.64</v>
      </c>
      <c r="J1322" s="42"/>
      <c r="K1322" s="75"/>
      <c r="L1322" s="201"/>
    </row>
    <row r="1323" spans="1:12" ht="24" outlineLevel="1" x14ac:dyDescent="0.2">
      <c r="A1323" s="62" t="s">
        <v>523</v>
      </c>
      <c r="B1323" s="112">
        <v>43160</v>
      </c>
      <c r="C1323" s="107">
        <v>43496</v>
      </c>
      <c r="D1323" s="108">
        <v>5</v>
      </c>
      <c r="E1323" s="173"/>
      <c r="F1323" s="173">
        <v>2411.27</v>
      </c>
      <c r="G1323" s="164"/>
      <c r="H1323" s="176">
        <f t="shared" si="77"/>
        <v>2411.27</v>
      </c>
      <c r="I1323" s="63">
        <f t="shared" si="78"/>
        <v>2411.27</v>
      </c>
      <c r="J1323" s="42"/>
      <c r="K1323" s="75"/>
      <c r="L1323" s="201"/>
    </row>
    <row r="1324" spans="1:12" ht="24" outlineLevel="1" x14ac:dyDescent="0.2">
      <c r="A1324" s="62" t="s">
        <v>1241</v>
      </c>
      <c r="B1324" s="112">
        <v>43252</v>
      </c>
      <c r="C1324" s="107">
        <v>43585</v>
      </c>
      <c r="D1324" s="108">
        <v>5</v>
      </c>
      <c r="E1324" s="173"/>
      <c r="F1324" s="173">
        <v>2314.6</v>
      </c>
      <c r="G1324" s="164"/>
      <c r="H1324" s="176">
        <f t="shared" si="77"/>
        <v>2314.6</v>
      </c>
      <c r="I1324" s="63">
        <f t="shared" si="78"/>
        <v>2314.6</v>
      </c>
      <c r="J1324" s="42"/>
      <c r="K1324" s="75"/>
      <c r="L1324" s="201"/>
    </row>
    <row r="1325" spans="1:12" ht="12.75" outlineLevel="1" x14ac:dyDescent="0.2">
      <c r="A1325" s="62" t="s">
        <v>1242</v>
      </c>
      <c r="B1325" s="112">
        <v>43191</v>
      </c>
      <c r="C1325" s="107">
        <v>43555</v>
      </c>
      <c r="D1325" s="108">
        <v>5</v>
      </c>
      <c r="E1325" s="173"/>
      <c r="F1325" s="173">
        <v>1361.67</v>
      </c>
      <c r="G1325" s="164"/>
      <c r="H1325" s="176">
        <f t="shared" si="77"/>
        <v>1361.67</v>
      </c>
      <c r="I1325" s="63">
        <f t="shared" si="78"/>
        <v>1361.67</v>
      </c>
      <c r="J1325" s="42"/>
      <c r="K1325" s="75"/>
      <c r="L1325" s="201"/>
    </row>
    <row r="1326" spans="1:12" ht="24" outlineLevel="1" x14ac:dyDescent="0.2">
      <c r="A1326" s="62" t="s">
        <v>1243</v>
      </c>
      <c r="B1326" s="112">
        <v>43221</v>
      </c>
      <c r="C1326" s="137">
        <v>43496</v>
      </c>
      <c r="D1326" s="108">
        <v>5</v>
      </c>
      <c r="E1326" s="173"/>
      <c r="F1326" s="173">
        <v>1851.66</v>
      </c>
      <c r="G1326" s="164"/>
      <c r="H1326" s="176">
        <f t="shared" si="77"/>
        <v>1851.66</v>
      </c>
      <c r="I1326" s="63">
        <f t="shared" si="78"/>
        <v>1851.66</v>
      </c>
      <c r="J1326" s="42"/>
      <c r="K1326" s="75"/>
      <c r="L1326" s="201"/>
    </row>
    <row r="1327" spans="1:12" ht="24" outlineLevel="1" x14ac:dyDescent="0.2">
      <c r="A1327" s="62" t="s">
        <v>1244</v>
      </c>
      <c r="B1327" s="112">
        <v>43191</v>
      </c>
      <c r="C1327" s="107">
        <v>43555</v>
      </c>
      <c r="D1327" s="108">
        <v>5</v>
      </c>
      <c r="E1327" s="173"/>
      <c r="F1327" s="173">
        <v>2730.29</v>
      </c>
      <c r="G1327" s="164"/>
      <c r="H1327" s="176">
        <f t="shared" si="77"/>
        <v>2730.29</v>
      </c>
      <c r="I1327" s="63">
        <f t="shared" si="78"/>
        <v>2730.29</v>
      </c>
      <c r="J1327" s="42"/>
      <c r="K1327" s="75"/>
      <c r="L1327" s="201"/>
    </row>
    <row r="1328" spans="1:12" ht="12.75" outlineLevel="1" x14ac:dyDescent="0.2">
      <c r="A1328" s="62" t="s">
        <v>1245</v>
      </c>
      <c r="B1328" s="112">
        <v>43221</v>
      </c>
      <c r="C1328" s="137">
        <v>43496</v>
      </c>
      <c r="D1328" s="108">
        <v>5</v>
      </c>
      <c r="E1328" s="173">
        <v>14447</v>
      </c>
      <c r="F1328" s="173"/>
      <c r="G1328" s="164"/>
      <c r="H1328" s="176">
        <f t="shared" si="77"/>
        <v>14447</v>
      </c>
      <c r="I1328" s="63">
        <f t="shared" si="78"/>
        <v>14447</v>
      </c>
      <c r="J1328" s="42"/>
      <c r="K1328" s="75"/>
      <c r="L1328" s="201"/>
    </row>
    <row r="1329" spans="1:12" ht="24" outlineLevel="1" x14ac:dyDescent="0.2">
      <c r="A1329" s="62" t="s">
        <v>343</v>
      </c>
      <c r="B1329" s="112">
        <v>43009</v>
      </c>
      <c r="C1329" s="137">
        <v>43465</v>
      </c>
      <c r="D1329" s="108">
        <v>15</v>
      </c>
      <c r="E1329" s="173">
        <v>12500</v>
      </c>
      <c r="F1329" s="173">
        <v>6130</v>
      </c>
      <c r="G1329" s="164"/>
      <c r="H1329" s="176">
        <f t="shared" si="77"/>
        <v>18630</v>
      </c>
      <c r="I1329" s="63">
        <f t="shared" si="78"/>
        <v>18630</v>
      </c>
      <c r="J1329" s="42"/>
      <c r="K1329" s="75"/>
      <c r="L1329" s="201"/>
    </row>
    <row r="1330" spans="1:12" ht="24" outlineLevel="1" x14ac:dyDescent="0.2">
      <c r="A1330" s="62" t="s">
        <v>1246</v>
      </c>
      <c r="B1330" s="112">
        <v>43221</v>
      </c>
      <c r="C1330" s="107">
        <v>43524</v>
      </c>
      <c r="D1330" s="108">
        <v>5</v>
      </c>
      <c r="E1330" s="173"/>
      <c r="F1330" s="173">
        <v>2066.44</v>
      </c>
      <c r="G1330" s="164"/>
      <c r="H1330" s="176">
        <f t="shared" si="77"/>
        <v>2066.44</v>
      </c>
      <c r="I1330" s="63">
        <f t="shared" si="78"/>
        <v>2066.44</v>
      </c>
      <c r="J1330" s="42"/>
      <c r="K1330" s="75"/>
      <c r="L1330" s="201"/>
    </row>
    <row r="1331" spans="1:12" ht="24" outlineLevel="1" x14ac:dyDescent="0.2">
      <c r="A1331" s="62" t="s">
        <v>1247</v>
      </c>
      <c r="B1331" s="112">
        <v>43252</v>
      </c>
      <c r="C1331" s="107">
        <v>43434</v>
      </c>
      <c r="D1331" s="108">
        <v>5</v>
      </c>
      <c r="E1331" s="173"/>
      <c r="F1331" s="173">
        <v>1633.83</v>
      </c>
      <c r="G1331" s="164"/>
      <c r="H1331" s="176">
        <f t="shared" si="77"/>
        <v>1633.83</v>
      </c>
      <c r="I1331" s="63">
        <f t="shared" si="78"/>
        <v>1633.83</v>
      </c>
      <c r="J1331" s="42"/>
      <c r="K1331" s="75"/>
      <c r="L1331" s="201"/>
    </row>
    <row r="1332" spans="1:12" ht="24" outlineLevel="1" x14ac:dyDescent="0.2">
      <c r="A1332" s="62" t="s">
        <v>1248</v>
      </c>
      <c r="B1332" s="112">
        <v>43221</v>
      </c>
      <c r="C1332" s="107">
        <v>43434</v>
      </c>
      <c r="D1332" s="108">
        <v>15</v>
      </c>
      <c r="E1332" s="173">
        <v>12126</v>
      </c>
      <c r="F1332" s="173">
        <v>3462.38</v>
      </c>
      <c r="G1332" s="164"/>
      <c r="H1332" s="176">
        <f t="shared" si="77"/>
        <v>15588.380000000001</v>
      </c>
      <c r="I1332" s="63">
        <f t="shared" si="78"/>
        <v>15588.380000000001</v>
      </c>
      <c r="J1332" s="42"/>
      <c r="K1332" s="75"/>
      <c r="L1332" s="201"/>
    </row>
    <row r="1333" spans="1:12" ht="24" outlineLevel="1" x14ac:dyDescent="0.2">
      <c r="A1333" s="62" t="s">
        <v>524</v>
      </c>
      <c r="B1333" s="112">
        <v>43132</v>
      </c>
      <c r="C1333" s="107">
        <v>43465</v>
      </c>
      <c r="D1333" s="108">
        <v>15</v>
      </c>
      <c r="E1333" s="173">
        <v>45000</v>
      </c>
      <c r="F1333" s="173">
        <v>5326.06</v>
      </c>
      <c r="G1333" s="164"/>
      <c r="H1333" s="176">
        <f t="shared" si="77"/>
        <v>50326.06</v>
      </c>
      <c r="I1333" s="63">
        <f t="shared" si="78"/>
        <v>50326.06</v>
      </c>
      <c r="J1333" s="42"/>
      <c r="K1333" s="75"/>
      <c r="L1333" s="201"/>
    </row>
    <row r="1334" spans="1:12" ht="24" outlineLevel="1" x14ac:dyDescent="0.2">
      <c r="A1334" s="62" t="s">
        <v>525</v>
      </c>
      <c r="B1334" s="112">
        <v>43132</v>
      </c>
      <c r="C1334" s="107">
        <v>43373</v>
      </c>
      <c r="D1334" s="108">
        <v>5</v>
      </c>
      <c r="E1334" s="173"/>
      <c r="F1334" s="173">
        <v>1157.8900000000001</v>
      </c>
      <c r="G1334" s="164"/>
      <c r="H1334" s="176">
        <f t="shared" si="77"/>
        <v>1157.8900000000001</v>
      </c>
      <c r="I1334" s="63">
        <f t="shared" si="78"/>
        <v>1157.8900000000001</v>
      </c>
      <c r="J1334" s="42"/>
      <c r="K1334" s="75"/>
      <c r="L1334" s="201"/>
    </row>
    <row r="1335" spans="1:12" ht="24" outlineLevel="1" x14ac:dyDescent="0.2">
      <c r="A1335" s="62" t="s">
        <v>526</v>
      </c>
      <c r="B1335" s="112">
        <v>43132</v>
      </c>
      <c r="C1335" s="107">
        <v>43373</v>
      </c>
      <c r="D1335" s="108">
        <v>5</v>
      </c>
      <c r="E1335" s="173"/>
      <c r="F1335" s="173">
        <v>1157.8900000000001</v>
      </c>
      <c r="G1335" s="164"/>
      <c r="H1335" s="176">
        <f t="shared" si="77"/>
        <v>1157.8900000000001</v>
      </c>
      <c r="I1335" s="63">
        <f t="shared" si="78"/>
        <v>1157.8900000000001</v>
      </c>
      <c r="J1335" s="42"/>
      <c r="K1335" s="75"/>
      <c r="L1335" s="201"/>
    </row>
    <row r="1336" spans="1:12" ht="24" outlineLevel="1" x14ac:dyDescent="0.2">
      <c r="A1336" s="62" t="s">
        <v>527</v>
      </c>
      <c r="B1336" s="112">
        <v>43160</v>
      </c>
      <c r="C1336" s="107">
        <v>43434</v>
      </c>
      <c r="D1336" s="108">
        <v>5</v>
      </c>
      <c r="E1336" s="173"/>
      <c r="F1336" s="173">
        <v>2184.13</v>
      </c>
      <c r="G1336" s="164"/>
      <c r="H1336" s="176">
        <f t="shared" si="77"/>
        <v>2184.13</v>
      </c>
      <c r="I1336" s="63">
        <f t="shared" si="78"/>
        <v>2184.13</v>
      </c>
      <c r="J1336" s="42"/>
      <c r="K1336" s="75"/>
      <c r="L1336" s="201"/>
    </row>
    <row r="1337" spans="1:12" ht="24" outlineLevel="1" x14ac:dyDescent="0.2">
      <c r="A1337" s="62" t="s">
        <v>344</v>
      </c>
      <c r="B1337" s="112">
        <v>43009</v>
      </c>
      <c r="C1337" s="107">
        <v>43434</v>
      </c>
      <c r="D1337" s="108">
        <v>15</v>
      </c>
      <c r="E1337" s="173">
        <v>13500</v>
      </c>
      <c r="F1337" s="173">
        <v>6035.26</v>
      </c>
      <c r="G1337" s="164"/>
      <c r="H1337" s="176">
        <f t="shared" si="77"/>
        <v>19535.260000000002</v>
      </c>
      <c r="I1337" s="63">
        <f t="shared" si="78"/>
        <v>19535.260000000002</v>
      </c>
      <c r="J1337" s="42"/>
      <c r="K1337" s="75"/>
      <c r="L1337" s="201"/>
    </row>
    <row r="1338" spans="1:12" ht="12.75" outlineLevel="1" x14ac:dyDescent="0.2">
      <c r="A1338" s="62" t="s">
        <v>528</v>
      </c>
      <c r="B1338" s="112">
        <v>43101</v>
      </c>
      <c r="C1338" s="107">
        <v>43555</v>
      </c>
      <c r="D1338" s="108">
        <v>5</v>
      </c>
      <c r="E1338" s="173"/>
      <c r="F1338" s="173">
        <v>1147.69</v>
      </c>
      <c r="G1338" s="164"/>
      <c r="H1338" s="176">
        <f t="shared" si="77"/>
        <v>1147.69</v>
      </c>
      <c r="I1338" s="63">
        <f t="shared" si="78"/>
        <v>1147.69</v>
      </c>
      <c r="J1338" s="42"/>
      <c r="K1338" s="75"/>
      <c r="L1338" s="201"/>
    </row>
    <row r="1339" spans="1:12" ht="24" outlineLevel="1" x14ac:dyDescent="0.2">
      <c r="A1339" s="62" t="s">
        <v>345</v>
      </c>
      <c r="B1339" s="112">
        <v>43070</v>
      </c>
      <c r="C1339" s="107">
        <v>43616</v>
      </c>
      <c r="D1339" s="108">
        <v>5</v>
      </c>
      <c r="E1339" s="173"/>
      <c r="F1339" s="173">
        <v>1361.67</v>
      </c>
      <c r="G1339" s="164"/>
      <c r="H1339" s="176">
        <f t="shared" si="77"/>
        <v>1361.67</v>
      </c>
      <c r="I1339" s="63">
        <f t="shared" si="78"/>
        <v>1361.67</v>
      </c>
      <c r="J1339" s="42"/>
      <c r="K1339" s="75"/>
      <c r="L1339" s="201"/>
    </row>
    <row r="1340" spans="1:12" ht="24" outlineLevel="1" x14ac:dyDescent="0.2">
      <c r="A1340" s="62" t="s">
        <v>168</v>
      </c>
      <c r="B1340" s="112">
        <v>42887</v>
      </c>
      <c r="C1340" s="107">
        <v>43404</v>
      </c>
      <c r="D1340" s="108">
        <v>15</v>
      </c>
      <c r="E1340" s="173">
        <v>17000</v>
      </c>
      <c r="F1340" s="173">
        <v>8835.35</v>
      </c>
      <c r="G1340" s="164"/>
      <c r="H1340" s="176">
        <f t="shared" si="77"/>
        <v>25835.35</v>
      </c>
      <c r="I1340" s="63">
        <f t="shared" si="78"/>
        <v>25835.35</v>
      </c>
      <c r="J1340" s="42"/>
      <c r="K1340" s="75"/>
      <c r="L1340" s="201"/>
    </row>
    <row r="1341" spans="1:12" ht="24" outlineLevel="1" x14ac:dyDescent="0.2">
      <c r="A1341" s="62" t="s">
        <v>169</v>
      </c>
      <c r="B1341" s="112">
        <v>42705</v>
      </c>
      <c r="C1341" s="107">
        <v>43496</v>
      </c>
      <c r="D1341" s="108">
        <v>15</v>
      </c>
      <c r="E1341" s="173">
        <v>18159.8</v>
      </c>
      <c r="F1341" s="173">
        <v>6369.83</v>
      </c>
      <c r="G1341" s="164"/>
      <c r="H1341" s="176">
        <f t="shared" si="77"/>
        <v>24529.629999999997</v>
      </c>
      <c r="I1341" s="63">
        <f t="shared" si="78"/>
        <v>24529.629999999997</v>
      </c>
      <c r="J1341" s="42"/>
      <c r="K1341" s="75"/>
      <c r="L1341" s="201"/>
    </row>
    <row r="1342" spans="1:12" ht="24" outlineLevel="1" x14ac:dyDescent="0.2">
      <c r="A1342" s="62" t="s">
        <v>170</v>
      </c>
      <c r="B1342" s="112">
        <v>42614</v>
      </c>
      <c r="C1342" s="107">
        <v>43373</v>
      </c>
      <c r="D1342" s="108">
        <v>20</v>
      </c>
      <c r="E1342" s="173">
        <v>120849.8</v>
      </c>
      <c r="F1342" s="173">
        <v>11894.44</v>
      </c>
      <c r="G1342" s="164"/>
      <c r="H1342" s="176">
        <f t="shared" si="77"/>
        <v>132744.24</v>
      </c>
      <c r="I1342" s="63">
        <f t="shared" si="78"/>
        <v>132744.24</v>
      </c>
      <c r="J1342" s="42"/>
      <c r="K1342" s="75"/>
      <c r="L1342" s="201"/>
    </row>
    <row r="1343" spans="1:12" ht="24" outlineLevel="1" x14ac:dyDescent="0.2">
      <c r="A1343" s="62" t="s">
        <v>1249</v>
      </c>
      <c r="B1343" s="112">
        <v>43191</v>
      </c>
      <c r="C1343" s="107">
        <v>43585</v>
      </c>
      <c r="D1343" s="108">
        <v>5</v>
      </c>
      <c r="E1343" s="173"/>
      <c r="F1343" s="173">
        <v>1927.52</v>
      </c>
      <c r="G1343" s="164"/>
      <c r="H1343" s="176">
        <f>F1343+E1343+G1343</f>
        <v>1927.52</v>
      </c>
      <c r="I1343" s="63">
        <f t="shared" si="78"/>
        <v>1927.52</v>
      </c>
      <c r="J1343" s="42"/>
      <c r="K1343" s="75"/>
      <c r="L1343" s="201"/>
    </row>
    <row r="1344" spans="1:12" ht="24" outlineLevel="1" x14ac:dyDescent="0.2">
      <c r="A1344" s="62" t="s">
        <v>1250</v>
      </c>
      <c r="B1344" s="112">
        <v>43252</v>
      </c>
      <c r="C1344" s="137">
        <v>43465</v>
      </c>
      <c r="D1344" s="108">
        <v>5</v>
      </c>
      <c r="E1344" s="173"/>
      <c r="F1344" s="173">
        <v>1851.66</v>
      </c>
      <c r="G1344" s="164"/>
      <c r="H1344" s="176">
        <f>F1344+E1344+G1344</f>
        <v>1851.66</v>
      </c>
      <c r="I1344" s="63">
        <f t="shared" si="78"/>
        <v>1851.66</v>
      </c>
      <c r="J1344" s="42"/>
      <c r="K1344" s="75"/>
      <c r="L1344" s="201"/>
    </row>
    <row r="1345" spans="1:12" ht="24" outlineLevel="1" x14ac:dyDescent="0.2">
      <c r="A1345" s="62" t="s">
        <v>171</v>
      </c>
      <c r="B1345" s="112">
        <v>42795</v>
      </c>
      <c r="C1345" s="107">
        <v>43373</v>
      </c>
      <c r="D1345" s="108">
        <v>5</v>
      </c>
      <c r="E1345" s="173"/>
      <c r="F1345" s="173">
        <v>3162.2</v>
      </c>
      <c r="G1345" s="164"/>
      <c r="H1345" s="176">
        <f t="shared" ref="H1345:H1350" si="79">F1345+E1345+G1345</f>
        <v>3162.2</v>
      </c>
      <c r="I1345" s="63">
        <f t="shared" si="78"/>
        <v>3162.2</v>
      </c>
      <c r="J1345" s="42"/>
      <c r="K1345" s="75"/>
      <c r="L1345" s="201"/>
    </row>
    <row r="1346" spans="1:12" ht="12.75" outlineLevel="1" x14ac:dyDescent="0.2">
      <c r="A1346" s="62" t="s">
        <v>1251</v>
      </c>
      <c r="B1346" s="112">
        <v>43221</v>
      </c>
      <c r="C1346" s="107">
        <v>43496</v>
      </c>
      <c r="D1346" s="108">
        <v>5</v>
      </c>
      <c r="E1346" s="173"/>
      <c r="F1346" s="173">
        <v>2314.6</v>
      </c>
      <c r="G1346" s="164"/>
      <c r="H1346" s="176">
        <f>F1346+E1346+G1346</f>
        <v>2314.6</v>
      </c>
      <c r="I1346" s="63">
        <f t="shared" si="78"/>
        <v>2314.6</v>
      </c>
      <c r="J1346" s="42"/>
      <c r="K1346" s="75"/>
      <c r="L1346" s="201"/>
    </row>
    <row r="1347" spans="1:12" ht="24" outlineLevel="1" x14ac:dyDescent="0.2">
      <c r="A1347" s="62" t="s">
        <v>828</v>
      </c>
      <c r="B1347" s="112">
        <v>42491</v>
      </c>
      <c r="C1347" s="107">
        <v>43465</v>
      </c>
      <c r="D1347" s="108">
        <v>5</v>
      </c>
      <c r="E1347" s="173"/>
      <c r="F1347" s="173">
        <v>38601.620000000003</v>
      </c>
      <c r="G1347" s="164"/>
      <c r="H1347" s="176">
        <f t="shared" si="79"/>
        <v>38601.620000000003</v>
      </c>
      <c r="I1347" s="63">
        <f t="shared" si="78"/>
        <v>38601.620000000003</v>
      </c>
      <c r="J1347" s="42"/>
      <c r="K1347" s="75"/>
      <c r="L1347" s="201"/>
    </row>
    <row r="1348" spans="1:12" ht="24" outlineLevel="1" x14ac:dyDescent="0.2">
      <c r="A1348" s="62" t="s">
        <v>829</v>
      </c>
      <c r="B1348" s="112">
        <v>42339</v>
      </c>
      <c r="C1348" s="107">
        <v>43373</v>
      </c>
      <c r="D1348" s="108">
        <v>5</v>
      </c>
      <c r="E1348" s="173"/>
      <c r="F1348" s="173">
        <v>37626</v>
      </c>
      <c r="G1348" s="164"/>
      <c r="H1348" s="176">
        <f t="shared" si="79"/>
        <v>37626</v>
      </c>
      <c r="I1348" s="63">
        <f t="shared" si="78"/>
        <v>37626</v>
      </c>
      <c r="J1348" s="42"/>
      <c r="K1348" s="75"/>
      <c r="L1348" s="201"/>
    </row>
    <row r="1349" spans="1:12" ht="24" outlineLevel="1" x14ac:dyDescent="0.2">
      <c r="A1349" s="62" t="s">
        <v>826</v>
      </c>
      <c r="B1349" s="112">
        <v>42522</v>
      </c>
      <c r="C1349" s="107">
        <v>43373</v>
      </c>
      <c r="D1349" s="108">
        <v>5</v>
      </c>
      <c r="E1349" s="173"/>
      <c r="F1349" s="173">
        <v>5031.12</v>
      </c>
      <c r="G1349" s="164"/>
      <c r="H1349" s="176">
        <f t="shared" si="79"/>
        <v>5031.12</v>
      </c>
      <c r="I1349" s="63">
        <f t="shared" si="78"/>
        <v>5031.12</v>
      </c>
      <c r="J1349" s="42"/>
      <c r="K1349" s="75"/>
      <c r="L1349" s="201"/>
    </row>
    <row r="1350" spans="1:12" ht="36" outlineLevel="1" x14ac:dyDescent="0.2">
      <c r="A1350" s="62" t="s">
        <v>827</v>
      </c>
      <c r="B1350" s="112">
        <v>42401</v>
      </c>
      <c r="C1350" s="107">
        <v>43373</v>
      </c>
      <c r="D1350" s="108">
        <v>5</v>
      </c>
      <c r="E1350" s="173"/>
      <c r="F1350" s="173">
        <v>14170.83</v>
      </c>
      <c r="G1350" s="164"/>
      <c r="H1350" s="176">
        <f t="shared" si="79"/>
        <v>14170.83</v>
      </c>
      <c r="I1350" s="63">
        <f t="shared" si="78"/>
        <v>14170.83</v>
      </c>
      <c r="J1350" s="42"/>
      <c r="K1350" s="75"/>
      <c r="L1350" s="201"/>
    </row>
    <row r="1351" spans="1:12" x14ac:dyDescent="0.2">
      <c r="A1351" s="61"/>
      <c r="B1351" s="103"/>
      <c r="C1351" s="103"/>
      <c r="D1351" s="194"/>
      <c r="E1351" s="68">
        <f>SUM(E1221:E1350)</f>
        <v>1056761.04</v>
      </c>
      <c r="F1351" s="68">
        <f>SUM(F1221:F1350)</f>
        <v>548819.45000000007</v>
      </c>
      <c r="G1351" s="68">
        <f>SUM(G1221:G1350)</f>
        <v>0</v>
      </c>
      <c r="H1351" s="58">
        <f>SUM(H1223:H1350)</f>
        <v>1605580.4899999995</v>
      </c>
      <c r="I1351" s="58">
        <f>SUM(I1221:I1350)</f>
        <v>1605580.4899999995</v>
      </c>
      <c r="J1351" s="81"/>
      <c r="K1351" s="75"/>
      <c r="L1351" s="201"/>
    </row>
    <row r="1352" spans="1:12" x14ac:dyDescent="0.2">
      <c r="A1352" s="61"/>
      <c r="B1352" s="103"/>
      <c r="C1352" s="103"/>
      <c r="D1352" s="194"/>
      <c r="E1352" s="68"/>
      <c r="F1352" s="68"/>
      <c r="G1352" s="68"/>
      <c r="H1352" s="58"/>
      <c r="I1352" s="58"/>
      <c r="J1352" s="81"/>
      <c r="K1352" s="75"/>
      <c r="L1352" s="201"/>
    </row>
    <row r="1353" spans="1:12" ht="24" x14ac:dyDescent="0.2">
      <c r="A1353" s="44" t="s">
        <v>549</v>
      </c>
      <c r="B1353" s="103"/>
      <c r="C1353" s="104"/>
      <c r="D1353" s="195"/>
      <c r="E1353" s="71"/>
      <c r="F1353" s="71"/>
      <c r="G1353" s="14"/>
      <c r="H1353" s="37"/>
      <c r="I1353" s="52"/>
      <c r="J1353" s="14"/>
      <c r="K1353" s="75"/>
      <c r="L1353" s="201"/>
    </row>
    <row r="1354" spans="1:12" ht="24" outlineLevel="1" x14ac:dyDescent="0.2">
      <c r="A1354" s="22" t="s">
        <v>550</v>
      </c>
      <c r="B1354" s="184" t="s">
        <v>551</v>
      </c>
      <c r="C1354" s="184" t="s">
        <v>552</v>
      </c>
      <c r="D1354" s="111">
        <v>10</v>
      </c>
      <c r="E1354" s="164"/>
      <c r="F1354" s="173">
        <f t="shared" ref="F1354:F1359" si="80">I1354</f>
        <v>44430</v>
      </c>
      <c r="G1354" s="164"/>
      <c r="H1354" s="37">
        <f>F1354</f>
        <v>44430</v>
      </c>
      <c r="I1354" s="58">
        <v>44430</v>
      </c>
      <c r="J1354" s="42"/>
      <c r="K1354" s="42"/>
      <c r="L1354" s="201"/>
    </row>
    <row r="1355" spans="1:12" outlineLevel="1" x14ac:dyDescent="0.2">
      <c r="A1355" s="22" t="s">
        <v>346</v>
      </c>
      <c r="B1355" s="184" t="s">
        <v>553</v>
      </c>
      <c r="C1355" s="184" t="s">
        <v>554</v>
      </c>
      <c r="D1355" s="111">
        <v>10</v>
      </c>
      <c r="E1355" s="164"/>
      <c r="F1355" s="173">
        <f t="shared" si="80"/>
        <v>2648</v>
      </c>
      <c r="G1355" s="164"/>
      <c r="H1355" s="37">
        <f>F1355</f>
        <v>2648</v>
      </c>
      <c r="I1355" s="58">
        <v>2648</v>
      </c>
      <c r="J1355" s="42"/>
      <c r="K1355" s="42"/>
      <c r="L1355" s="201"/>
    </row>
    <row r="1356" spans="1:12" outlineLevel="1" x14ac:dyDescent="0.2">
      <c r="A1356" s="22" t="s">
        <v>347</v>
      </c>
      <c r="B1356" s="184" t="s">
        <v>555</v>
      </c>
      <c r="C1356" s="184" t="s">
        <v>556</v>
      </c>
      <c r="D1356" s="111">
        <v>10</v>
      </c>
      <c r="E1356" s="164"/>
      <c r="F1356" s="173">
        <f t="shared" si="80"/>
        <v>6540</v>
      </c>
      <c r="G1356" s="164"/>
      <c r="H1356" s="37">
        <f>F1356</f>
        <v>6540</v>
      </c>
      <c r="I1356" s="58">
        <v>6540</v>
      </c>
      <c r="J1356" s="42"/>
      <c r="K1356" s="42"/>
      <c r="L1356" s="201"/>
    </row>
    <row r="1357" spans="1:12" outlineLevel="1" x14ac:dyDescent="0.2">
      <c r="A1357" s="22" t="s">
        <v>1291</v>
      </c>
      <c r="B1357" s="184" t="s">
        <v>557</v>
      </c>
      <c r="C1357" s="185">
        <v>43312</v>
      </c>
      <c r="D1357" s="111">
        <v>10</v>
      </c>
      <c r="E1357" s="164"/>
      <c r="F1357" s="173">
        <f t="shared" si="80"/>
        <v>3972</v>
      </c>
      <c r="G1357" s="164"/>
      <c r="H1357" s="37">
        <f>F1357</f>
        <v>3972</v>
      </c>
      <c r="I1357" s="58">
        <v>3972</v>
      </c>
      <c r="J1357" s="42"/>
      <c r="K1357" s="42"/>
      <c r="L1357" s="201"/>
    </row>
    <row r="1358" spans="1:12" ht="24" outlineLevel="1" x14ac:dyDescent="0.2">
      <c r="A1358" s="22" t="s">
        <v>348</v>
      </c>
      <c r="B1358" s="184" t="s">
        <v>558</v>
      </c>
      <c r="C1358" s="184" t="s">
        <v>559</v>
      </c>
      <c r="D1358" s="111">
        <v>10</v>
      </c>
      <c r="E1358" s="164"/>
      <c r="F1358" s="173">
        <f t="shared" si="80"/>
        <v>92021</v>
      </c>
      <c r="G1358" s="164"/>
      <c r="H1358" s="37">
        <f>F1358</f>
        <v>92021</v>
      </c>
      <c r="I1358" s="58">
        <v>92021</v>
      </c>
      <c r="J1358" s="42"/>
      <c r="K1358" s="42"/>
      <c r="L1358" s="201"/>
    </row>
    <row r="1359" spans="1:12" outlineLevel="1" x14ac:dyDescent="0.2">
      <c r="A1359" s="22" t="s">
        <v>560</v>
      </c>
      <c r="B1359" s="107">
        <v>42185</v>
      </c>
      <c r="C1359" s="112">
        <v>43373</v>
      </c>
      <c r="D1359" s="113">
        <v>90</v>
      </c>
      <c r="E1359" s="164"/>
      <c r="F1359" s="173">
        <f t="shared" si="80"/>
        <v>8854.2999999999993</v>
      </c>
      <c r="G1359" s="164"/>
      <c r="H1359" s="58">
        <v>8854.2999999999993</v>
      </c>
      <c r="I1359" s="58">
        <v>8854.2999999999993</v>
      </c>
      <c r="J1359" s="53"/>
      <c r="K1359" s="42"/>
      <c r="L1359" s="201"/>
    </row>
    <row r="1360" spans="1:12" x14ac:dyDescent="0.2">
      <c r="A1360" s="95"/>
      <c r="B1360" s="139"/>
      <c r="C1360" s="140"/>
      <c r="D1360" s="113"/>
      <c r="E1360" s="58">
        <f>SUM(E1353:E1359)</f>
        <v>0</v>
      </c>
      <c r="F1360" s="58">
        <f>SUM(F1353:F1359)</f>
        <v>158465.29999999999</v>
      </c>
      <c r="G1360" s="58">
        <f>SUM(G1353:G1359)</f>
        <v>0</v>
      </c>
      <c r="H1360" s="58">
        <f>SUM(H1353:H1359)</f>
        <v>158465.29999999999</v>
      </c>
      <c r="I1360" s="58">
        <f>SUM(I1353:I1359)</f>
        <v>158465.29999999999</v>
      </c>
      <c r="J1360" s="81"/>
      <c r="K1360" s="75"/>
      <c r="L1360" s="201"/>
    </row>
    <row r="1361" spans="1:12" ht="24" x14ac:dyDescent="0.2">
      <c r="A1361" s="20" t="s">
        <v>801</v>
      </c>
      <c r="B1361" s="103"/>
      <c r="C1361" s="103"/>
      <c r="D1361" s="194"/>
      <c r="E1361" s="14"/>
      <c r="F1361" s="14"/>
      <c r="G1361" s="14"/>
      <c r="H1361" s="58"/>
      <c r="I1361" s="58"/>
      <c r="J1361" s="83"/>
      <c r="K1361" s="75"/>
      <c r="L1361" s="201"/>
    </row>
    <row r="1362" spans="1:12" ht="24" outlineLevel="1" x14ac:dyDescent="0.2">
      <c r="A1362" s="135" t="s">
        <v>830</v>
      </c>
      <c r="B1362" s="180">
        <v>42578</v>
      </c>
      <c r="C1362" s="181">
        <v>43344</v>
      </c>
      <c r="D1362" s="196">
        <v>90</v>
      </c>
      <c r="E1362" s="175">
        <v>70000</v>
      </c>
      <c r="F1362" s="175">
        <v>113513.3</v>
      </c>
      <c r="G1362" s="175"/>
      <c r="H1362" s="176">
        <f>F1362+E1362+G1362</f>
        <v>183513.3</v>
      </c>
      <c r="I1362" s="63">
        <f>H1362</f>
        <v>183513.3</v>
      </c>
      <c r="J1362" s="42"/>
      <c r="K1362" s="42"/>
      <c r="L1362" s="201"/>
    </row>
    <row r="1363" spans="1:12" ht="24" outlineLevel="1" x14ac:dyDescent="0.2">
      <c r="A1363" s="22" t="s">
        <v>831</v>
      </c>
      <c r="B1363" s="107">
        <v>42674</v>
      </c>
      <c r="C1363" s="112">
        <v>43529</v>
      </c>
      <c r="D1363" s="113">
        <v>20</v>
      </c>
      <c r="E1363" s="164">
        <v>43496.76</v>
      </c>
      <c r="F1363" s="164"/>
      <c r="G1363" s="164"/>
      <c r="H1363" s="58">
        <f>F1363+E1363+G1363</f>
        <v>43496.76</v>
      </c>
      <c r="I1363" s="52">
        <f>H1363</f>
        <v>43496.76</v>
      </c>
      <c r="J1363" s="42"/>
      <c r="K1363" s="42"/>
      <c r="L1363" s="201"/>
    </row>
    <row r="1364" spans="1:12" x14ac:dyDescent="0.2">
      <c r="A1364" s="61"/>
      <c r="B1364" s="103"/>
      <c r="C1364" s="103"/>
      <c r="D1364" s="194"/>
      <c r="E1364" s="68">
        <f>SUM(E1361:E1363)</f>
        <v>113496.76000000001</v>
      </c>
      <c r="F1364" s="68">
        <f>SUM(F1361:F1363)</f>
        <v>113513.3</v>
      </c>
      <c r="G1364" s="68">
        <f>SUM(G1361:G1363)</f>
        <v>0</v>
      </c>
      <c r="H1364" s="58">
        <f>SUM(H1362:H1363)</f>
        <v>227010.06</v>
      </c>
      <c r="I1364" s="58">
        <f>SUM(I1361:I1363)</f>
        <v>227010.06</v>
      </c>
      <c r="J1364" s="81"/>
      <c r="K1364" s="149"/>
      <c r="L1364" s="201"/>
    </row>
    <row r="1365" spans="1:12" x14ac:dyDescent="0.2">
      <c r="A1365" s="18"/>
      <c r="B1365" s="103"/>
      <c r="C1365" s="103"/>
      <c r="D1365" s="194"/>
      <c r="E1365" s="14"/>
      <c r="F1365" s="14"/>
      <c r="G1365" s="14"/>
      <c r="H1365" s="58"/>
      <c r="I1365" s="58"/>
      <c r="J1365" s="83"/>
      <c r="K1365" s="75"/>
      <c r="L1365" s="201"/>
    </row>
    <row r="1366" spans="1:12" ht="27" customHeight="1" x14ac:dyDescent="0.2">
      <c r="A1366" s="44" t="s">
        <v>529</v>
      </c>
      <c r="B1366" s="120"/>
      <c r="C1366" s="121"/>
      <c r="D1366" s="130"/>
      <c r="E1366" s="123"/>
      <c r="F1366" s="123"/>
      <c r="G1366" s="124"/>
      <c r="H1366" s="125"/>
      <c r="I1366" s="126"/>
      <c r="J1366" s="14"/>
      <c r="K1366" s="43"/>
      <c r="L1366" s="201"/>
    </row>
    <row r="1367" spans="1:12" ht="24" outlineLevel="1" x14ac:dyDescent="0.2">
      <c r="A1367" s="189" t="s">
        <v>1252</v>
      </c>
      <c r="B1367" s="129">
        <v>43276</v>
      </c>
      <c r="C1367" s="186">
        <v>43393</v>
      </c>
      <c r="D1367" s="130">
        <v>60</v>
      </c>
      <c r="E1367" s="123">
        <v>16235.85</v>
      </c>
      <c r="F1367" s="123"/>
      <c r="G1367" s="124"/>
      <c r="H1367" s="125">
        <f t="shared" ref="H1367:I1382" si="81">E1367+F1367+G1367</f>
        <v>16235.85</v>
      </c>
      <c r="I1367" s="125">
        <f t="shared" si="81"/>
        <v>16235.85</v>
      </c>
      <c r="J1367" s="14"/>
      <c r="K1367" s="43"/>
      <c r="L1367" s="201"/>
    </row>
    <row r="1368" spans="1:12" ht="24" outlineLevel="1" x14ac:dyDescent="0.2">
      <c r="A1368" s="189" t="s">
        <v>1253</v>
      </c>
      <c r="B1368" s="129">
        <v>43095</v>
      </c>
      <c r="C1368" s="129">
        <v>43357</v>
      </c>
      <c r="D1368" s="130">
        <v>60</v>
      </c>
      <c r="E1368" s="123">
        <v>19819</v>
      </c>
      <c r="F1368" s="123"/>
      <c r="G1368" s="124"/>
      <c r="H1368" s="125">
        <f t="shared" si="81"/>
        <v>19819</v>
      </c>
      <c r="I1368" s="125">
        <f t="shared" si="81"/>
        <v>19819</v>
      </c>
      <c r="J1368" s="14"/>
      <c r="K1368" s="43"/>
      <c r="L1368" s="201"/>
    </row>
    <row r="1369" spans="1:12" ht="24" outlineLevel="1" x14ac:dyDescent="0.2">
      <c r="A1369" s="189" t="s">
        <v>1254</v>
      </c>
      <c r="B1369" s="129">
        <v>43100</v>
      </c>
      <c r="C1369" s="129">
        <v>43406</v>
      </c>
      <c r="D1369" s="130">
        <v>50</v>
      </c>
      <c r="E1369" s="123">
        <v>3545.56</v>
      </c>
      <c r="F1369" s="123"/>
      <c r="G1369" s="124"/>
      <c r="H1369" s="125">
        <f t="shared" si="81"/>
        <v>3545.56</v>
      </c>
      <c r="I1369" s="125">
        <f t="shared" si="81"/>
        <v>3545.56</v>
      </c>
      <c r="J1369" s="14"/>
      <c r="K1369" s="43"/>
      <c r="L1369" s="201"/>
    </row>
    <row r="1370" spans="1:12" ht="24" outlineLevel="1" x14ac:dyDescent="0.2">
      <c r="A1370" s="189" t="s">
        <v>1255</v>
      </c>
      <c r="B1370" s="129">
        <v>43040</v>
      </c>
      <c r="C1370" s="129">
        <v>43434</v>
      </c>
      <c r="D1370" s="130">
        <v>95</v>
      </c>
      <c r="E1370" s="123">
        <v>205552.33</v>
      </c>
      <c r="F1370" s="123">
        <v>12000</v>
      </c>
      <c r="G1370" s="124"/>
      <c r="H1370" s="125">
        <f t="shared" si="81"/>
        <v>217552.33</v>
      </c>
      <c r="I1370" s="128">
        <f>E1370+F1370+G1370</f>
        <v>217552.33</v>
      </c>
      <c r="J1370" s="14"/>
      <c r="K1370" s="43"/>
      <c r="L1370" s="201"/>
    </row>
    <row r="1371" spans="1:12" outlineLevel="1" x14ac:dyDescent="0.2">
      <c r="A1371" s="189" t="s">
        <v>1256</v>
      </c>
      <c r="B1371" s="129">
        <v>43264</v>
      </c>
      <c r="C1371" s="129">
        <v>43393</v>
      </c>
      <c r="D1371" s="130">
        <v>50</v>
      </c>
      <c r="E1371" s="123">
        <v>3285.51</v>
      </c>
      <c r="F1371" s="123"/>
      <c r="G1371" s="124"/>
      <c r="H1371" s="125">
        <f t="shared" si="81"/>
        <v>3285.51</v>
      </c>
      <c r="I1371" s="125">
        <f t="shared" si="81"/>
        <v>3285.51</v>
      </c>
      <c r="J1371" s="14"/>
      <c r="K1371" s="43"/>
      <c r="L1371" s="201"/>
    </row>
    <row r="1372" spans="1:12" outlineLevel="1" x14ac:dyDescent="0.2">
      <c r="A1372" s="189" t="s">
        <v>1257</v>
      </c>
      <c r="B1372" s="129">
        <v>43202</v>
      </c>
      <c r="C1372" s="129">
        <v>43522</v>
      </c>
      <c r="D1372" s="130">
        <v>50</v>
      </c>
      <c r="E1372" s="123">
        <v>11612.65</v>
      </c>
      <c r="F1372" s="123"/>
      <c r="G1372" s="124"/>
      <c r="H1372" s="125">
        <f t="shared" si="81"/>
        <v>11612.65</v>
      </c>
      <c r="I1372" s="125">
        <f t="shared" si="81"/>
        <v>11612.65</v>
      </c>
      <c r="J1372" s="14"/>
      <c r="K1372" s="43"/>
      <c r="L1372" s="201"/>
    </row>
    <row r="1373" spans="1:12" outlineLevel="1" x14ac:dyDescent="0.2">
      <c r="A1373" s="189" t="s">
        <v>1258</v>
      </c>
      <c r="B1373" s="129">
        <v>43193</v>
      </c>
      <c r="C1373" s="129">
        <v>43438</v>
      </c>
      <c r="D1373" s="130">
        <v>70</v>
      </c>
      <c r="E1373" s="123">
        <v>70021.06</v>
      </c>
      <c r="F1373" s="123"/>
      <c r="G1373" s="124"/>
      <c r="H1373" s="125">
        <f t="shared" si="81"/>
        <v>70021.06</v>
      </c>
      <c r="I1373" s="125">
        <f t="shared" si="81"/>
        <v>70021.06</v>
      </c>
      <c r="J1373" s="14"/>
      <c r="K1373" s="43"/>
      <c r="L1373" s="201"/>
    </row>
    <row r="1374" spans="1:12" ht="24" outlineLevel="1" x14ac:dyDescent="0.2">
      <c r="A1374" s="189" t="s">
        <v>1259</v>
      </c>
      <c r="B1374" s="129">
        <v>43209</v>
      </c>
      <c r="C1374" s="129">
        <v>43448</v>
      </c>
      <c r="D1374" s="130">
        <v>50</v>
      </c>
      <c r="E1374" s="123">
        <v>3190.01</v>
      </c>
      <c r="F1374" s="123"/>
      <c r="G1374" s="124"/>
      <c r="H1374" s="125">
        <f t="shared" si="81"/>
        <v>3190.01</v>
      </c>
      <c r="I1374" s="125">
        <f t="shared" si="81"/>
        <v>3190.01</v>
      </c>
      <c r="J1374" s="14"/>
      <c r="K1374" s="43"/>
      <c r="L1374" s="201"/>
    </row>
    <row r="1375" spans="1:12" outlineLevel="1" x14ac:dyDescent="0.2">
      <c r="A1375" s="189" t="s">
        <v>1260</v>
      </c>
      <c r="B1375" s="129">
        <v>43276</v>
      </c>
      <c r="C1375" s="129">
        <v>43376</v>
      </c>
      <c r="D1375" s="130">
        <v>55</v>
      </c>
      <c r="E1375" s="123">
        <v>7404.25</v>
      </c>
      <c r="F1375" s="123"/>
      <c r="G1375" s="124"/>
      <c r="H1375" s="125">
        <f t="shared" si="81"/>
        <v>7404.25</v>
      </c>
      <c r="I1375" s="125">
        <f t="shared" si="81"/>
        <v>7404.25</v>
      </c>
      <c r="J1375" s="14"/>
      <c r="K1375" s="43"/>
      <c r="L1375" s="201"/>
    </row>
    <row r="1376" spans="1:12" outlineLevel="1" x14ac:dyDescent="0.2">
      <c r="A1376" s="189" t="s">
        <v>1261</v>
      </c>
      <c r="B1376" s="129">
        <v>43251</v>
      </c>
      <c r="C1376" s="129">
        <v>43403</v>
      </c>
      <c r="D1376" s="130">
        <v>60</v>
      </c>
      <c r="E1376" s="123">
        <v>10361.81</v>
      </c>
      <c r="F1376" s="123"/>
      <c r="G1376" s="124"/>
      <c r="H1376" s="125">
        <f t="shared" si="81"/>
        <v>10361.81</v>
      </c>
      <c r="I1376" s="125">
        <f t="shared" si="81"/>
        <v>10361.81</v>
      </c>
      <c r="J1376" s="14"/>
      <c r="K1376" s="43"/>
      <c r="L1376" s="201"/>
    </row>
    <row r="1377" spans="1:12" ht="24" outlineLevel="1" x14ac:dyDescent="0.2">
      <c r="A1377" s="189" t="s">
        <v>1262</v>
      </c>
      <c r="B1377" s="129">
        <v>43095</v>
      </c>
      <c r="C1377" s="129">
        <v>43418</v>
      </c>
      <c r="D1377" s="130">
        <v>70</v>
      </c>
      <c r="E1377" s="123">
        <v>28441</v>
      </c>
      <c r="F1377" s="123"/>
      <c r="G1377" s="124"/>
      <c r="H1377" s="125">
        <f t="shared" si="81"/>
        <v>28441</v>
      </c>
      <c r="I1377" s="125">
        <f t="shared" si="81"/>
        <v>28441</v>
      </c>
      <c r="J1377" s="14"/>
      <c r="K1377" s="43"/>
      <c r="L1377" s="201"/>
    </row>
    <row r="1378" spans="1:12" outlineLevel="1" x14ac:dyDescent="0.2">
      <c r="A1378" s="189" t="s">
        <v>1263</v>
      </c>
      <c r="B1378" s="129">
        <v>43203</v>
      </c>
      <c r="C1378" s="129">
        <v>43445</v>
      </c>
      <c r="D1378" s="130">
        <v>50</v>
      </c>
      <c r="E1378" s="123">
        <v>9026.4</v>
      </c>
      <c r="F1378" s="123"/>
      <c r="G1378" s="124"/>
      <c r="H1378" s="125">
        <f t="shared" si="81"/>
        <v>9026.4</v>
      </c>
      <c r="I1378" s="125">
        <f t="shared" si="81"/>
        <v>9026.4</v>
      </c>
      <c r="J1378" s="14"/>
      <c r="K1378" s="43"/>
      <c r="L1378" s="201"/>
    </row>
    <row r="1379" spans="1:12" ht="24" outlineLevel="1" x14ac:dyDescent="0.2">
      <c r="A1379" s="189" t="s">
        <v>1264</v>
      </c>
      <c r="B1379" s="129">
        <v>43258</v>
      </c>
      <c r="C1379" s="129">
        <v>43439</v>
      </c>
      <c r="D1379" s="130">
        <v>50</v>
      </c>
      <c r="E1379" s="123">
        <v>3424.01</v>
      </c>
      <c r="F1379" s="123"/>
      <c r="G1379" s="124"/>
      <c r="H1379" s="125">
        <f t="shared" si="81"/>
        <v>3424.01</v>
      </c>
      <c r="I1379" s="125">
        <f t="shared" si="81"/>
        <v>3424.01</v>
      </c>
      <c r="J1379" s="14"/>
      <c r="K1379" s="43"/>
      <c r="L1379" s="201"/>
    </row>
    <row r="1380" spans="1:12" outlineLevel="1" x14ac:dyDescent="0.2">
      <c r="A1380" s="189" t="s">
        <v>1265</v>
      </c>
      <c r="B1380" s="129">
        <v>43206</v>
      </c>
      <c r="C1380" s="129">
        <v>43340</v>
      </c>
      <c r="D1380" s="130">
        <v>50</v>
      </c>
      <c r="E1380" s="123">
        <v>3299.73</v>
      </c>
      <c r="F1380" s="123"/>
      <c r="G1380" s="124"/>
      <c r="H1380" s="125">
        <f t="shared" si="81"/>
        <v>3299.73</v>
      </c>
      <c r="I1380" s="125">
        <f t="shared" si="81"/>
        <v>3299.73</v>
      </c>
      <c r="J1380" s="14"/>
      <c r="K1380" s="43"/>
      <c r="L1380" s="201"/>
    </row>
    <row r="1381" spans="1:12" ht="24" outlineLevel="1" x14ac:dyDescent="0.2">
      <c r="A1381" s="189" t="s">
        <v>1266</v>
      </c>
      <c r="B1381" s="129">
        <v>43272</v>
      </c>
      <c r="C1381" s="129">
        <v>43348</v>
      </c>
      <c r="D1381" s="130">
        <v>50</v>
      </c>
      <c r="E1381" s="123">
        <v>5280.94</v>
      </c>
      <c r="F1381" s="123"/>
      <c r="G1381" s="124"/>
      <c r="H1381" s="125">
        <f t="shared" si="81"/>
        <v>5280.94</v>
      </c>
      <c r="I1381" s="125">
        <f t="shared" si="81"/>
        <v>5280.94</v>
      </c>
      <c r="J1381" s="14"/>
      <c r="K1381" s="43"/>
      <c r="L1381" s="201"/>
    </row>
    <row r="1382" spans="1:12" outlineLevel="1" x14ac:dyDescent="0.2">
      <c r="A1382" s="189" t="s">
        <v>1267</v>
      </c>
      <c r="B1382" s="129">
        <v>43209</v>
      </c>
      <c r="C1382" s="129">
        <v>43538</v>
      </c>
      <c r="D1382" s="130">
        <v>50</v>
      </c>
      <c r="E1382" s="123">
        <v>5138.38</v>
      </c>
      <c r="F1382" s="123"/>
      <c r="G1382" s="124"/>
      <c r="H1382" s="125">
        <f t="shared" si="81"/>
        <v>5138.38</v>
      </c>
      <c r="I1382" s="125">
        <f t="shared" si="81"/>
        <v>5138.38</v>
      </c>
      <c r="J1382" s="14"/>
      <c r="K1382" s="43"/>
      <c r="L1382" s="201"/>
    </row>
    <row r="1383" spans="1:12" outlineLevel="1" x14ac:dyDescent="0.2">
      <c r="A1383" s="189" t="s">
        <v>1268</v>
      </c>
      <c r="B1383" s="129">
        <v>43147</v>
      </c>
      <c r="C1383" s="129">
        <v>43494</v>
      </c>
      <c r="D1383" s="130">
        <v>60</v>
      </c>
      <c r="E1383" s="123">
        <v>15736.98</v>
      </c>
      <c r="F1383" s="123"/>
      <c r="G1383" s="124"/>
      <c r="H1383" s="125">
        <f t="shared" ref="H1383:I1398" si="82">E1383+F1383+G1383</f>
        <v>15736.98</v>
      </c>
      <c r="I1383" s="125">
        <f t="shared" si="82"/>
        <v>15736.98</v>
      </c>
      <c r="J1383" s="14"/>
      <c r="K1383" s="43"/>
      <c r="L1383" s="201"/>
    </row>
    <row r="1384" spans="1:12" ht="24" outlineLevel="1" x14ac:dyDescent="0.2">
      <c r="A1384" s="189" t="s">
        <v>1269</v>
      </c>
      <c r="B1384" s="129">
        <v>43081</v>
      </c>
      <c r="C1384" s="129">
        <v>43791</v>
      </c>
      <c r="D1384" s="130">
        <v>60</v>
      </c>
      <c r="E1384" s="123">
        <v>6353.38</v>
      </c>
      <c r="F1384" s="123"/>
      <c r="G1384" s="124"/>
      <c r="H1384" s="125">
        <f t="shared" si="82"/>
        <v>6353.38</v>
      </c>
      <c r="I1384" s="125">
        <f t="shared" si="82"/>
        <v>6353.38</v>
      </c>
      <c r="J1384" s="14"/>
      <c r="K1384" s="43"/>
      <c r="L1384" s="201"/>
    </row>
    <row r="1385" spans="1:12" outlineLevel="1" x14ac:dyDescent="0.2">
      <c r="A1385" s="189" t="s">
        <v>1270</v>
      </c>
      <c r="B1385" s="129">
        <v>43276</v>
      </c>
      <c r="C1385" s="129">
        <v>43509</v>
      </c>
      <c r="D1385" s="130">
        <v>60</v>
      </c>
      <c r="E1385" s="123">
        <v>6102.67</v>
      </c>
      <c r="F1385" s="123"/>
      <c r="G1385" s="124"/>
      <c r="H1385" s="125">
        <f t="shared" si="82"/>
        <v>6102.67</v>
      </c>
      <c r="I1385" s="125">
        <f t="shared" si="82"/>
        <v>6102.67</v>
      </c>
      <c r="J1385" s="14"/>
      <c r="K1385" s="43"/>
      <c r="L1385" s="201"/>
    </row>
    <row r="1386" spans="1:12" outlineLevel="1" x14ac:dyDescent="0.2">
      <c r="A1386" s="189" t="s">
        <v>1271</v>
      </c>
      <c r="B1386" s="129">
        <v>43269</v>
      </c>
      <c r="C1386" s="129">
        <v>43509</v>
      </c>
      <c r="D1386" s="130">
        <v>50</v>
      </c>
      <c r="E1386" s="123">
        <v>4039.85</v>
      </c>
      <c r="F1386" s="123"/>
      <c r="G1386" s="124"/>
      <c r="H1386" s="125">
        <f t="shared" si="82"/>
        <v>4039.85</v>
      </c>
      <c r="I1386" s="125">
        <f t="shared" si="82"/>
        <v>4039.85</v>
      </c>
      <c r="J1386" s="14"/>
      <c r="K1386" s="43"/>
      <c r="L1386" s="201"/>
    </row>
    <row r="1387" spans="1:12" outlineLevel="1" x14ac:dyDescent="0.2">
      <c r="A1387" s="189" t="s">
        <v>1272</v>
      </c>
      <c r="B1387" s="129">
        <v>43269</v>
      </c>
      <c r="C1387" s="129">
        <v>43509</v>
      </c>
      <c r="D1387" s="130">
        <v>50</v>
      </c>
      <c r="E1387" s="123">
        <v>4039.86</v>
      </c>
      <c r="F1387" s="123"/>
      <c r="G1387" s="124"/>
      <c r="H1387" s="125">
        <f t="shared" si="82"/>
        <v>4039.86</v>
      </c>
      <c r="I1387" s="125">
        <f t="shared" si="82"/>
        <v>4039.86</v>
      </c>
      <c r="J1387" s="14"/>
      <c r="K1387" s="43"/>
      <c r="L1387" s="201"/>
    </row>
    <row r="1388" spans="1:12" ht="24" outlineLevel="1" x14ac:dyDescent="0.2">
      <c r="A1388" s="189" t="s">
        <v>1273</v>
      </c>
      <c r="B1388" s="129">
        <v>43237</v>
      </c>
      <c r="C1388" s="129">
        <v>43477</v>
      </c>
      <c r="D1388" s="130">
        <v>50</v>
      </c>
      <c r="E1388" s="123">
        <v>6131.67</v>
      </c>
      <c r="F1388" s="123"/>
      <c r="G1388" s="124"/>
      <c r="H1388" s="125">
        <f t="shared" si="82"/>
        <v>6131.67</v>
      </c>
      <c r="I1388" s="125">
        <f t="shared" si="82"/>
        <v>6131.67</v>
      </c>
      <c r="J1388" s="14"/>
      <c r="K1388" s="43"/>
      <c r="L1388" s="201"/>
    </row>
    <row r="1389" spans="1:12" outlineLevel="1" x14ac:dyDescent="0.2">
      <c r="A1389" s="189" t="s">
        <v>1274</v>
      </c>
      <c r="B1389" s="129">
        <v>43193</v>
      </c>
      <c r="C1389" s="129">
        <v>43448</v>
      </c>
      <c r="D1389" s="130">
        <v>70</v>
      </c>
      <c r="E1389" s="123">
        <v>48408.39</v>
      </c>
      <c r="F1389" s="123"/>
      <c r="G1389" s="124"/>
      <c r="H1389" s="125">
        <f t="shared" si="82"/>
        <v>48408.39</v>
      </c>
      <c r="I1389" s="125">
        <f t="shared" si="82"/>
        <v>48408.39</v>
      </c>
      <c r="J1389" s="14"/>
      <c r="K1389" s="43"/>
      <c r="L1389" s="201"/>
    </row>
    <row r="1390" spans="1:12" ht="24" outlineLevel="1" x14ac:dyDescent="0.2">
      <c r="A1390" s="189" t="s">
        <v>1275</v>
      </c>
      <c r="B1390" s="129">
        <v>43251</v>
      </c>
      <c r="C1390" s="129">
        <v>43503</v>
      </c>
      <c r="D1390" s="130">
        <v>60</v>
      </c>
      <c r="E1390" s="123">
        <v>17124.3</v>
      </c>
      <c r="F1390" s="123"/>
      <c r="G1390" s="124"/>
      <c r="H1390" s="125">
        <f t="shared" si="82"/>
        <v>17124.3</v>
      </c>
      <c r="I1390" s="125">
        <f t="shared" si="82"/>
        <v>17124.3</v>
      </c>
      <c r="J1390" s="14"/>
      <c r="K1390" s="43"/>
      <c r="L1390" s="201"/>
    </row>
    <row r="1391" spans="1:12" outlineLevel="1" x14ac:dyDescent="0.2">
      <c r="A1391" s="189" t="s">
        <v>1276</v>
      </c>
      <c r="B1391" s="129">
        <v>43269</v>
      </c>
      <c r="C1391" s="129">
        <v>43552</v>
      </c>
      <c r="D1391" s="130">
        <v>50</v>
      </c>
      <c r="E1391" s="123">
        <v>3770.97</v>
      </c>
      <c r="F1391" s="123"/>
      <c r="G1391" s="124"/>
      <c r="H1391" s="125">
        <f t="shared" si="82"/>
        <v>3770.97</v>
      </c>
      <c r="I1391" s="125">
        <f t="shared" si="82"/>
        <v>3770.97</v>
      </c>
      <c r="J1391" s="14"/>
      <c r="K1391" s="43"/>
      <c r="L1391" s="201"/>
    </row>
    <row r="1392" spans="1:12" outlineLevel="1" x14ac:dyDescent="0.2">
      <c r="A1392" s="189" t="s">
        <v>1277</v>
      </c>
      <c r="B1392" s="129">
        <v>43203</v>
      </c>
      <c r="C1392" s="129">
        <v>43419</v>
      </c>
      <c r="D1392" s="130">
        <v>50</v>
      </c>
      <c r="E1392" s="123">
        <v>6278.01</v>
      </c>
      <c r="F1392" s="123"/>
      <c r="G1392" s="124"/>
      <c r="H1392" s="125">
        <f t="shared" si="82"/>
        <v>6278.01</v>
      </c>
      <c r="I1392" s="125">
        <f t="shared" si="82"/>
        <v>6278.01</v>
      </c>
      <c r="J1392" s="14"/>
      <c r="K1392" s="43"/>
      <c r="L1392" s="201"/>
    </row>
    <row r="1393" spans="1:12" outlineLevel="1" x14ac:dyDescent="0.2">
      <c r="A1393" s="189" t="s">
        <v>1278</v>
      </c>
      <c r="B1393" s="129">
        <v>43214</v>
      </c>
      <c r="C1393" s="129">
        <v>43495</v>
      </c>
      <c r="D1393" s="130">
        <v>50</v>
      </c>
      <c r="E1393" s="123">
        <v>9298.2900000000009</v>
      </c>
      <c r="F1393" s="123"/>
      <c r="G1393" s="124"/>
      <c r="H1393" s="125">
        <f t="shared" si="82"/>
        <v>9298.2900000000009</v>
      </c>
      <c r="I1393" s="125">
        <f t="shared" si="82"/>
        <v>9298.2900000000009</v>
      </c>
      <c r="J1393" s="14"/>
      <c r="K1393" s="43"/>
      <c r="L1393" s="201"/>
    </row>
    <row r="1394" spans="1:12" ht="24" outlineLevel="1" x14ac:dyDescent="0.2">
      <c r="A1394" s="189" t="s">
        <v>1279</v>
      </c>
      <c r="B1394" s="129">
        <v>43265</v>
      </c>
      <c r="C1394" s="129">
        <v>43503</v>
      </c>
      <c r="D1394" s="130">
        <v>50</v>
      </c>
      <c r="E1394" s="123">
        <v>1934.42</v>
      </c>
      <c r="F1394" s="123"/>
      <c r="G1394" s="124"/>
      <c r="H1394" s="125">
        <f t="shared" si="82"/>
        <v>1934.42</v>
      </c>
      <c r="I1394" s="125">
        <f t="shared" si="82"/>
        <v>1934.42</v>
      </c>
      <c r="J1394" s="14"/>
      <c r="K1394" s="43"/>
      <c r="L1394" s="201"/>
    </row>
    <row r="1395" spans="1:12" ht="24" outlineLevel="1" x14ac:dyDescent="0.2">
      <c r="A1395" s="189" t="s">
        <v>1280</v>
      </c>
      <c r="B1395" s="129">
        <v>43151</v>
      </c>
      <c r="C1395" s="129">
        <v>43503</v>
      </c>
      <c r="D1395" s="130">
        <v>70</v>
      </c>
      <c r="E1395" s="123">
        <v>25774.78</v>
      </c>
      <c r="F1395" s="123"/>
      <c r="G1395" s="124"/>
      <c r="H1395" s="125">
        <f t="shared" si="82"/>
        <v>25774.78</v>
      </c>
      <c r="I1395" s="125">
        <f t="shared" si="82"/>
        <v>25774.78</v>
      </c>
      <c r="J1395" s="14"/>
      <c r="K1395" s="43"/>
      <c r="L1395" s="201"/>
    </row>
    <row r="1396" spans="1:12" outlineLevel="1" x14ac:dyDescent="0.2">
      <c r="A1396" s="189" t="s">
        <v>1281</v>
      </c>
      <c r="B1396" s="129">
        <v>43272</v>
      </c>
      <c r="C1396" s="129">
        <v>43405</v>
      </c>
      <c r="D1396" s="130">
        <v>50</v>
      </c>
      <c r="E1396" s="123">
        <v>3005.83</v>
      </c>
      <c r="F1396" s="123"/>
      <c r="G1396" s="124"/>
      <c r="H1396" s="125">
        <f t="shared" si="82"/>
        <v>3005.83</v>
      </c>
      <c r="I1396" s="125">
        <f t="shared" si="82"/>
        <v>3005.83</v>
      </c>
      <c r="J1396" s="14"/>
      <c r="K1396" s="43"/>
      <c r="L1396" s="201"/>
    </row>
    <row r="1397" spans="1:12" outlineLevel="1" x14ac:dyDescent="0.2">
      <c r="A1397" s="189" t="s">
        <v>1282</v>
      </c>
      <c r="B1397" s="129">
        <v>43174</v>
      </c>
      <c r="C1397" s="129">
        <v>43495</v>
      </c>
      <c r="D1397" s="130">
        <v>60</v>
      </c>
      <c r="E1397" s="123">
        <v>4790.6400000000003</v>
      </c>
      <c r="F1397" s="123"/>
      <c r="G1397" s="124"/>
      <c r="H1397" s="125">
        <f t="shared" si="82"/>
        <v>4790.6400000000003</v>
      </c>
      <c r="I1397" s="125">
        <f t="shared" si="82"/>
        <v>4790.6400000000003</v>
      </c>
      <c r="J1397" s="14"/>
      <c r="K1397" s="43"/>
      <c r="L1397" s="201"/>
    </row>
    <row r="1398" spans="1:12" ht="24" outlineLevel="1" x14ac:dyDescent="0.2">
      <c r="A1398" s="189" t="s">
        <v>1283</v>
      </c>
      <c r="B1398" s="129">
        <v>43271</v>
      </c>
      <c r="C1398" s="129">
        <v>43530</v>
      </c>
      <c r="D1398" s="130">
        <v>50</v>
      </c>
      <c r="E1398" s="123">
        <v>5390.7</v>
      </c>
      <c r="F1398" s="123"/>
      <c r="G1398" s="124"/>
      <c r="H1398" s="125">
        <f t="shared" si="82"/>
        <v>5390.7</v>
      </c>
      <c r="I1398" s="125">
        <f t="shared" si="82"/>
        <v>5390.7</v>
      </c>
      <c r="J1398" s="14"/>
      <c r="K1398" s="43"/>
      <c r="L1398" s="201"/>
    </row>
    <row r="1399" spans="1:12" outlineLevel="1" x14ac:dyDescent="0.2">
      <c r="A1399" s="189" t="s">
        <v>1284</v>
      </c>
      <c r="B1399" s="129">
        <v>43209</v>
      </c>
      <c r="C1399" s="129">
        <v>43405</v>
      </c>
      <c r="D1399" s="130">
        <v>50</v>
      </c>
      <c r="E1399" s="123">
        <v>3303.63</v>
      </c>
      <c r="F1399" s="123"/>
      <c r="G1399" s="124"/>
      <c r="H1399" s="125">
        <f t="shared" ref="H1399:I1404" si="83">E1399+F1399+G1399</f>
        <v>3303.63</v>
      </c>
      <c r="I1399" s="125">
        <f t="shared" si="83"/>
        <v>3303.63</v>
      </c>
      <c r="J1399" s="14"/>
      <c r="K1399" s="43"/>
      <c r="L1399" s="201"/>
    </row>
    <row r="1400" spans="1:12" outlineLevel="1" x14ac:dyDescent="0.2">
      <c r="A1400" s="189" t="s">
        <v>1285</v>
      </c>
      <c r="B1400" s="129">
        <v>43276</v>
      </c>
      <c r="C1400" s="129">
        <v>43517</v>
      </c>
      <c r="D1400" s="130">
        <v>50</v>
      </c>
      <c r="E1400" s="123">
        <v>6772.18</v>
      </c>
      <c r="F1400" s="123"/>
      <c r="G1400" s="124"/>
      <c r="H1400" s="125">
        <f t="shared" si="83"/>
        <v>6772.18</v>
      </c>
      <c r="I1400" s="125">
        <f t="shared" si="83"/>
        <v>6772.18</v>
      </c>
      <c r="J1400" s="14"/>
      <c r="K1400" s="43"/>
      <c r="L1400" s="201"/>
    </row>
    <row r="1401" spans="1:12" outlineLevel="1" x14ac:dyDescent="0.2">
      <c r="A1401" s="189" t="s">
        <v>1286</v>
      </c>
      <c r="B1401" s="129">
        <v>43269</v>
      </c>
      <c r="C1401" s="129">
        <v>43439</v>
      </c>
      <c r="D1401" s="130">
        <v>50</v>
      </c>
      <c r="E1401" s="123">
        <v>10632.81</v>
      </c>
      <c r="F1401" s="123"/>
      <c r="G1401" s="124"/>
      <c r="H1401" s="125">
        <f t="shared" si="83"/>
        <v>10632.81</v>
      </c>
      <c r="I1401" s="125">
        <f t="shared" si="83"/>
        <v>10632.81</v>
      </c>
      <c r="J1401" s="14"/>
      <c r="K1401" s="43"/>
      <c r="L1401" s="201"/>
    </row>
    <row r="1402" spans="1:12" outlineLevel="1" x14ac:dyDescent="0.2">
      <c r="A1402" s="189" t="s">
        <v>1287</v>
      </c>
      <c r="B1402" s="129">
        <v>43248</v>
      </c>
      <c r="C1402" s="129">
        <v>43505</v>
      </c>
      <c r="D1402" s="130">
        <v>50</v>
      </c>
      <c r="E1402" s="123">
        <v>6014.95</v>
      </c>
      <c r="F1402" s="123"/>
      <c r="G1402" s="124"/>
      <c r="H1402" s="125">
        <f t="shared" si="83"/>
        <v>6014.95</v>
      </c>
      <c r="I1402" s="125">
        <f t="shared" si="83"/>
        <v>6014.95</v>
      </c>
      <c r="J1402" s="14"/>
      <c r="K1402" s="43"/>
      <c r="L1402" s="201"/>
    </row>
    <row r="1403" spans="1:12" outlineLevel="1" x14ac:dyDescent="0.2">
      <c r="A1403" s="189" t="s">
        <v>1288</v>
      </c>
      <c r="B1403" s="129">
        <v>43218</v>
      </c>
      <c r="C1403" s="129">
        <v>43397</v>
      </c>
      <c r="D1403" s="130">
        <v>60</v>
      </c>
      <c r="E1403" s="123">
        <v>34463.910000000003</v>
      </c>
      <c r="F1403" s="123"/>
      <c r="G1403" s="124"/>
      <c r="H1403" s="125">
        <f t="shared" si="83"/>
        <v>34463.910000000003</v>
      </c>
      <c r="I1403" s="125">
        <f t="shared" si="83"/>
        <v>34463.910000000003</v>
      </c>
      <c r="J1403" s="14"/>
      <c r="K1403" s="43"/>
      <c r="L1403" s="201"/>
    </row>
    <row r="1404" spans="1:12" ht="24" outlineLevel="1" x14ac:dyDescent="0.2">
      <c r="A1404" s="189" t="s">
        <v>1289</v>
      </c>
      <c r="B1404" s="129">
        <v>43276</v>
      </c>
      <c r="C1404" s="129">
        <v>43357</v>
      </c>
      <c r="D1404" s="130">
        <v>50</v>
      </c>
      <c r="E1404" s="123">
        <v>4923.79</v>
      </c>
      <c r="F1404" s="123"/>
      <c r="G1404" s="124"/>
      <c r="H1404" s="125">
        <f t="shared" si="83"/>
        <v>4923.79</v>
      </c>
      <c r="I1404" s="125">
        <f t="shared" si="83"/>
        <v>4923.79</v>
      </c>
      <c r="J1404" s="14"/>
      <c r="K1404" s="43"/>
      <c r="L1404" s="201"/>
    </row>
    <row r="1405" spans="1:12" x14ac:dyDescent="0.2">
      <c r="A1405" s="133"/>
      <c r="B1405" s="120"/>
      <c r="C1405" s="120"/>
      <c r="D1405" s="131"/>
      <c r="E1405" s="128">
        <f>SUM(E1365:E1404)</f>
        <v>639930.5</v>
      </c>
      <c r="F1405" s="128">
        <f>SUM(F1365:F1404)</f>
        <v>12000</v>
      </c>
      <c r="G1405" s="128">
        <f>SUM(G1365:G1404)</f>
        <v>0</v>
      </c>
      <c r="H1405" s="128">
        <f>SUM(H1365:H1404)</f>
        <v>651930.50000000012</v>
      </c>
      <c r="I1405" s="128">
        <f>SUM(I1365:I1404)</f>
        <v>651930.50000000012</v>
      </c>
      <c r="J1405" s="81"/>
      <c r="K1405" s="149"/>
      <c r="L1405" s="201"/>
    </row>
    <row r="1406" spans="1:12" ht="24" x14ac:dyDescent="0.2">
      <c r="A1406" s="44" t="s">
        <v>531</v>
      </c>
      <c r="B1406" s="103"/>
      <c r="C1406" s="103"/>
      <c r="D1406" s="194"/>
      <c r="E1406" s="14"/>
      <c r="F1406" s="14"/>
      <c r="G1406" s="14"/>
      <c r="H1406" s="58"/>
      <c r="I1406" s="58"/>
      <c r="J1406" s="83"/>
      <c r="K1406" s="75"/>
      <c r="L1406" s="201"/>
    </row>
    <row r="1407" spans="1:12" x14ac:dyDescent="0.2">
      <c r="A1407" s="44"/>
      <c r="B1407" s="103"/>
      <c r="C1407" s="103"/>
      <c r="D1407" s="194"/>
      <c r="E1407" s="14"/>
      <c r="F1407" s="14"/>
      <c r="G1407" s="14"/>
      <c r="H1407" s="58"/>
      <c r="I1407" s="58"/>
      <c r="J1407" s="83"/>
      <c r="K1407" s="75"/>
      <c r="L1407" s="201"/>
    </row>
    <row r="1408" spans="1:12" ht="24" outlineLevel="1" x14ac:dyDescent="0.2">
      <c r="A1408" s="45" t="s">
        <v>174</v>
      </c>
      <c r="B1408" s="112">
        <v>42690</v>
      </c>
      <c r="C1408" s="107">
        <v>43348</v>
      </c>
      <c r="D1408" s="108">
        <v>10</v>
      </c>
      <c r="E1408" s="173"/>
      <c r="F1408" s="173">
        <v>25438</v>
      </c>
      <c r="G1408" s="164"/>
      <c r="H1408" s="37">
        <v>25438</v>
      </c>
      <c r="I1408" s="37">
        <v>25438</v>
      </c>
      <c r="J1408" s="109"/>
      <c r="K1408" s="109"/>
      <c r="L1408" s="201"/>
    </row>
    <row r="1409" spans="1:12" ht="24" outlineLevel="1" x14ac:dyDescent="0.2">
      <c r="A1409" s="45" t="s">
        <v>174</v>
      </c>
      <c r="B1409" s="112">
        <v>42696</v>
      </c>
      <c r="C1409" s="107">
        <v>43465</v>
      </c>
      <c r="D1409" s="108">
        <v>10</v>
      </c>
      <c r="E1409" s="173"/>
      <c r="F1409" s="173">
        <v>24622</v>
      </c>
      <c r="G1409" s="164"/>
      <c r="H1409" s="37">
        <v>24622</v>
      </c>
      <c r="I1409" s="37">
        <v>24622</v>
      </c>
      <c r="J1409" s="109"/>
      <c r="K1409" s="109"/>
      <c r="L1409" s="201"/>
    </row>
    <row r="1410" spans="1:12" ht="24" outlineLevel="1" x14ac:dyDescent="0.2">
      <c r="A1410" s="45" t="s">
        <v>530</v>
      </c>
      <c r="B1410" s="112">
        <v>42888</v>
      </c>
      <c r="C1410" s="107">
        <v>43465</v>
      </c>
      <c r="D1410" s="108">
        <v>50</v>
      </c>
      <c r="E1410" s="173">
        <v>134303.95000000001</v>
      </c>
      <c r="F1410" s="173">
        <v>28367.9</v>
      </c>
      <c r="G1410" s="164"/>
      <c r="H1410" s="37">
        <v>162671.85</v>
      </c>
      <c r="I1410" s="52">
        <v>162671.85</v>
      </c>
      <c r="J1410" s="109"/>
      <c r="K1410" s="109"/>
      <c r="L1410" s="201"/>
    </row>
    <row r="1411" spans="1:12" ht="24" outlineLevel="1" x14ac:dyDescent="0.2">
      <c r="A1411" s="45" t="s">
        <v>530</v>
      </c>
      <c r="B1411" s="112">
        <v>42888</v>
      </c>
      <c r="C1411" s="107">
        <v>43465</v>
      </c>
      <c r="D1411" s="108">
        <v>50</v>
      </c>
      <c r="E1411" s="173">
        <v>195790.19</v>
      </c>
      <c r="F1411" s="173">
        <v>19810.91</v>
      </c>
      <c r="G1411" s="164"/>
      <c r="H1411" s="37">
        <v>215601.1</v>
      </c>
      <c r="I1411" s="52">
        <v>215601.1</v>
      </c>
      <c r="J1411" s="109"/>
      <c r="K1411" s="109"/>
      <c r="L1411" s="201"/>
    </row>
    <row r="1412" spans="1:12" ht="24" outlineLevel="1" x14ac:dyDescent="0.2">
      <c r="A1412" s="18" t="s">
        <v>173</v>
      </c>
      <c r="B1412" s="112">
        <v>42356</v>
      </c>
      <c r="C1412" s="112">
        <v>43465</v>
      </c>
      <c r="D1412" s="131">
        <v>10</v>
      </c>
      <c r="E1412" s="173"/>
      <c r="F1412" s="164">
        <v>2140.58</v>
      </c>
      <c r="G1412" s="164">
        <v>35448</v>
      </c>
      <c r="H1412" s="58">
        <v>37588.58</v>
      </c>
      <c r="I1412" s="58">
        <v>37588.58</v>
      </c>
      <c r="J1412" s="109"/>
      <c r="K1412" s="109"/>
      <c r="L1412" s="201"/>
    </row>
    <row r="1413" spans="1:12" ht="24" outlineLevel="1" x14ac:dyDescent="0.2">
      <c r="A1413" s="18" t="s">
        <v>172</v>
      </c>
      <c r="B1413" s="112">
        <v>42356</v>
      </c>
      <c r="C1413" s="112">
        <v>43343</v>
      </c>
      <c r="D1413" s="131">
        <v>10</v>
      </c>
      <c r="E1413" s="173"/>
      <c r="F1413" s="164"/>
      <c r="G1413" s="164">
        <v>46568.01</v>
      </c>
      <c r="H1413" s="58">
        <f>E1413+F1413+G1413</f>
        <v>46568.01</v>
      </c>
      <c r="I1413" s="58">
        <v>46568</v>
      </c>
      <c r="J1413" s="109"/>
      <c r="K1413" s="109"/>
      <c r="L1413" s="201"/>
    </row>
    <row r="1414" spans="1:12" ht="24" outlineLevel="1" x14ac:dyDescent="0.2">
      <c r="A1414" s="45" t="s">
        <v>1290</v>
      </c>
      <c r="B1414" s="112">
        <v>43082</v>
      </c>
      <c r="C1414" s="107">
        <v>43447</v>
      </c>
      <c r="D1414" s="130">
        <v>10</v>
      </c>
      <c r="E1414" s="173"/>
      <c r="F1414" s="173">
        <v>20000</v>
      </c>
      <c r="G1414" s="164"/>
      <c r="H1414" s="37">
        <v>20000</v>
      </c>
      <c r="I1414" s="52">
        <v>20000</v>
      </c>
      <c r="J1414" s="53"/>
      <c r="K1414" s="53"/>
      <c r="L1414" s="201"/>
    </row>
    <row r="1415" spans="1:12" x14ac:dyDescent="0.2">
      <c r="A1415" s="61"/>
      <c r="B1415" s="103"/>
      <c r="C1415" s="103"/>
      <c r="D1415" s="194"/>
      <c r="E1415" s="68">
        <f>SUM(E1408:E1414)</f>
        <v>330094.14</v>
      </c>
      <c r="F1415" s="68">
        <f>SUM(F1408:F1414)</f>
        <v>120379.39</v>
      </c>
      <c r="G1415" s="68">
        <f>SUM(G1408:G1414)</f>
        <v>82016.010000000009</v>
      </c>
      <c r="H1415" s="58">
        <f>SUM(H1408:H1414)</f>
        <v>532489.54</v>
      </c>
      <c r="I1415" s="58">
        <f>H1415</f>
        <v>532489.54</v>
      </c>
      <c r="J1415" s="81"/>
      <c r="K1415" s="149"/>
      <c r="L1415" s="201"/>
    </row>
    <row r="1416" spans="1:12" x14ac:dyDescent="0.2">
      <c r="A1416" s="61"/>
      <c r="B1416" s="103"/>
      <c r="C1416" s="103"/>
      <c r="D1416" s="194"/>
      <c r="E1416" s="68"/>
      <c r="F1416" s="68"/>
      <c r="G1416" s="68"/>
      <c r="H1416" s="58"/>
      <c r="I1416" s="58"/>
      <c r="J1416" s="81"/>
      <c r="K1416" s="149"/>
      <c r="L1416" s="201"/>
    </row>
    <row r="1417" spans="1:12" ht="24" x14ac:dyDescent="0.2">
      <c r="A1417" s="44" t="s">
        <v>1410</v>
      </c>
      <c r="B1417" s="112"/>
      <c r="C1417" s="107"/>
      <c r="D1417" s="108"/>
      <c r="E1417" s="173"/>
      <c r="F1417" s="173"/>
      <c r="G1417" s="164"/>
      <c r="H1417" s="37"/>
      <c r="I1417" s="52"/>
      <c r="J1417" s="14"/>
      <c r="K1417" s="43"/>
      <c r="L1417" s="201"/>
    </row>
    <row r="1418" spans="1:12" ht="24" x14ac:dyDescent="0.2">
      <c r="A1418" s="190" t="s">
        <v>1411</v>
      </c>
      <c r="B1418" s="112">
        <v>43281</v>
      </c>
      <c r="C1418" s="107">
        <v>43531</v>
      </c>
      <c r="D1418" s="108">
        <v>10</v>
      </c>
      <c r="E1418" s="173">
        <v>0</v>
      </c>
      <c r="F1418" s="173">
        <v>68774.77</v>
      </c>
      <c r="G1418" s="164"/>
      <c r="H1418" s="37">
        <v>68774.77</v>
      </c>
      <c r="I1418" s="37">
        <v>68774.77</v>
      </c>
      <c r="J1418" s="42"/>
      <c r="K1418" s="42"/>
      <c r="L1418" s="201"/>
    </row>
    <row r="1419" spans="1:12" ht="12.75" x14ac:dyDescent="0.2">
      <c r="A1419" s="61" t="s">
        <v>1412</v>
      </c>
      <c r="B1419" s="115"/>
      <c r="C1419" s="112"/>
      <c r="D1419" s="119"/>
      <c r="E1419" s="68">
        <f>SUM(E1416:E1418)</f>
        <v>0</v>
      </c>
      <c r="F1419" s="68">
        <f>SUM(F1416:F1418)</f>
        <v>68774.77</v>
      </c>
      <c r="G1419" s="68">
        <f>SUM(G1416:G1418)</f>
        <v>0</v>
      </c>
      <c r="H1419" s="68">
        <f>SUM(H1416:H1418)</f>
        <v>68774.77</v>
      </c>
      <c r="I1419" s="68">
        <f>SUM(I1416:I1418)</f>
        <v>68774.77</v>
      </c>
      <c r="J1419" s="81"/>
      <c r="K1419" s="149"/>
      <c r="L1419" s="201"/>
    </row>
    <row r="1420" spans="1:12" ht="12.75" x14ac:dyDescent="0.2">
      <c r="A1420" s="61"/>
      <c r="B1420" s="115"/>
      <c r="C1420" s="112"/>
      <c r="D1420" s="119"/>
      <c r="E1420" s="68"/>
      <c r="F1420" s="68"/>
      <c r="G1420" s="68"/>
      <c r="H1420" s="68"/>
      <c r="I1420" s="68"/>
      <c r="J1420" s="81"/>
      <c r="K1420" s="149"/>
      <c r="L1420" s="201"/>
    </row>
    <row r="1421" spans="1:12" x14ac:dyDescent="0.2">
      <c r="A1421" s="191" t="s">
        <v>1423</v>
      </c>
      <c r="B1421" s="43"/>
      <c r="C1421" s="43"/>
      <c r="D1421" s="194"/>
      <c r="E1421" s="14"/>
      <c r="F1421" s="14"/>
      <c r="G1421" s="14"/>
      <c r="H1421" s="68"/>
      <c r="I1421" s="68"/>
      <c r="J1421" s="75"/>
      <c r="K1421" s="75"/>
      <c r="L1421" s="201"/>
    </row>
    <row r="1422" spans="1:12" x14ac:dyDescent="0.2">
      <c r="A1422" s="192" t="s">
        <v>1413</v>
      </c>
      <c r="B1422" s="115">
        <v>43276</v>
      </c>
      <c r="C1422" s="107">
        <v>43465</v>
      </c>
      <c r="D1422" s="194"/>
      <c r="E1422" s="14"/>
      <c r="F1422" s="122">
        <v>168969.17</v>
      </c>
      <c r="G1422" s="14"/>
      <c r="H1422" s="68">
        <f>F1422</f>
        <v>168969.17</v>
      </c>
      <c r="I1422" s="68">
        <f>H1422</f>
        <v>168969.17</v>
      </c>
      <c r="J1422" s="75"/>
      <c r="K1422" s="75"/>
      <c r="L1422" s="201"/>
    </row>
    <row r="1423" spans="1:12" ht="12" customHeight="1" x14ac:dyDescent="0.2">
      <c r="A1423" s="192" t="s">
        <v>1414</v>
      </c>
      <c r="B1423" s="115">
        <v>43279</v>
      </c>
      <c r="C1423" s="107">
        <v>43465</v>
      </c>
      <c r="D1423" s="194"/>
      <c r="E1423" s="14"/>
      <c r="F1423" s="122">
        <v>226990</v>
      </c>
      <c r="G1423" s="14"/>
      <c r="H1423" s="68">
        <f t="shared" ref="H1423:H1431" si="84">F1423</f>
        <v>226990</v>
      </c>
      <c r="I1423" s="68">
        <f t="shared" ref="I1423:I1432" si="85">H1423</f>
        <v>226990</v>
      </c>
      <c r="J1423" s="75"/>
      <c r="K1423" s="75"/>
      <c r="L1423" s="201"/>
    </row>
    <row r="1424" spans="1:12" ht="12" customHeight="1" x14ac:dyDescent="0.2">
      <c r="A1424" s="192" t="s">
        <v>1415</v>
      </c>
      <c r="B1424" s="115">
        <v>43279</v>
      </c>
      <c r="C1424" s="107">
        <v>43465</v>
      </c>
      <c r="D1424" s="194"/>
      <c r="E1424" s="14"/>
      <c r="F1424" s="122">
        <v>295500</v>
      </c>
      <c r="G1424" s="14"/>
      <c r="H1424" s="68">
        <f t="shared" si="84"/>
        <v>295500</v>
      </c>
      <c r="I1424" s="68">
        <f t="shared" si="85"/>
        <v>295500</v>
      </c>
      <c r="J1424" s="83"/>
      <c r="K1424" s="75"/>
      <c r="L1424" s="201"/>
    </row>
    <row r="1425" spans="1:12" ht="12" customHeight="1" x14ac:dyDescent="0.2">
      <c r="A1425" s="192" t="s">
        <v>1416</v>
      </c>
      <c r="B1425" s="115">
        <v>43279</v>
      </c>
      <c r="C1425" s="107">
        <v>43465</v>
      </c>
      <c r="D1425" s="194"/>
      <c r="E1425" s="14"/>
      <c r="F1425" s="122">
        <v>254672</v>
      </c>
      <c r="G1425" s="14"/>
      <c r="H1425" s="68">
        <f t="shared" si="84"/>
        <v>254672</v>
      </c>
      <c r="I1425" s="68">
        <f t="shared" si="85"/>
        <v>254672</v>
      </c>
      <c r="J1425" s="83"/>
      <c r="K1425" s="75"/>
      <c r="L1425" s="201"/>
    </row>
    <row r="1426" spans="1:12" ht="12" customHeight="1" x14ac:dyDescent="0.2">
      <c r="A1426" s="192" t="s">
        <v>1417</v>
      </c>
      <c r="B1426" s="115">
        <v>43279</v>
      </c>
      <c r="C1426" s="107">
        <v>43465</v>
      </c>
      <c r="D1426" s="194"/>
      <c r="E1426" s="14"/>
      <c r="F1426" s="122">
        <v>548384</v>
      </c>
      <c r="G1426" s="14"/>
      <c r="H1426" s="68">
        <f t="shared" si="84"/>
        <v>548384</v>
      </c>
      <c r="I1426" s="68">
        <f t="shared" si="85"/>
        <v>548384</v>
      </c>
      <c r="J1426" s="83"/>
      <c r="K1426" s="75"/>
      <c r="L1426" s="201"/>
    </row>
    <row r="1427" spans="1:12" x14ac:dyDescent="0.2">
      <c r="A1427" s="192" t="s">
        <v>1418</v>
      </c>
      <c r="B1427" s="115">
        <v>43234</v>
      </c>
      <c r="C1427" s="107">
        <v>43465</v>
      </c>
      <c r="D1427" s="194"/>
      <c r="E1427" s="14"/>
      <c r="F1427" s="122">
        <v>50288.95</v>
      </c>
      <c r="G1427" s="14"/>
      <c r="H1427" s="68">
        <f t="shared" si="84"/>
        <v>50288.95</v>
      </c>
      <c r="I1427" s="68">
        <f t="shared" si="85"/>
        <v>50288.95</v>
      </c>
      <c r="J1427" s="83"/>
      <c r="K1427" s="75"/>
      <c r="L1427" s="201"/>
    </row>
    <row r="1428" spans="1:12" x14ac:dyDescent="0.2">
      <c r="A1428" s="192" t="s">
        <v>1419</v>
      </c>
      <c r="B1428" s="115">
        <v>43279</v>
      </c>
      <c r="C1428" s="107">
        <v>43465</v>
      </c>
      <c r="D1428" s="194"/>
      <c r="E1428" s="14"/>
      <c r="F1428" s="122">
        <v>1461880</v>
      </c>
      <c r="G1428" s="14"/>
      <c r="H1428" s="68">
        <f t="shared" si="84"/>
        <v>1461880</v>
      </c>
      <c r="I1428" s="68">
        <f t="shared" si="85"/>
        <v>1461880</v>
      </c>
      <c r="J1428" s="83"/>
      <c r="K1428" s="75"/>
      <c r="L1428" s="201"/>
    </row>
    <row r="1429" spans="1:12" x14ac:dyDescent="0.2">
      <c r="A1429" s="192" t="s">
        <v>1420</v>
      </c>
      <c r="B1429" s="115">
        <v>43277</v>
      </c>
      <c r="C1429" s="107">
        <v>43465</v>
      </c>
      <c r="D1429" s="194"/>
      <c r="E1429" s="14"/>
      <c r="F1429" s="122">
        <v>41200</v>
      </c>
      <c r="G1429" s="14"/>
      <c r="H1429" s="68">
        <f t="shared" si="84"/>
        <v>41200</v>
      </c>
      <c r="I1429" s="68">
        <f t="shared" si="85"/>
        <v>41200</v>
      </c>
      <c r="J1429" s="83"/>
      <c r="K1429" s="75"/>
      <c r="L1429" s="201"/>
    </row>
    <row r="1430" spans="1:12" x14ac:dyDescent="0.2">
      <c r="A1430" s="192" t="s">
        <v>1421</v>
      </c>
      <c r="B1430" s="115">
        <v>43276</v>
      </c>
      <c r="C1430" s="107">
        <v>43465</v>
      </c>
      <c r="D1430" s="194"/>
      <c r="E1430" s="14"/>
      <c r="F1430" s="122">
        <v>396974.97</v>
      </c>
      <c r="G1430" s="14"/>
      <c r="H1430" s="68">
        <f t="shared" si="84"/>
        <v>396974.97</v>
      </c>
      <c r="I1430" s="68">
        <f t="shared" si="85"/>
        <v>396974.97</v>
      </c>
      <c r="J1430" s="83"/>
      <c r="K1430" s="75"/>
      <c r="L1430" s="201"/>
    </row>
    <row r="1431" spans="1:12" x14ac:dyDescent="0.2">
      <c r="A1431" s="192" t="s">
        <v>1422</v>
      </c>
      <c r="B1431" s="115">
        <v>43278</v>
      </c>
      <c r="C1431" s="107">
        <v>43465</v>
      </c>
      <c r="D1431" s="194"/>
      <c r="E1431" s="14"/>
      <c r="F1431" s="122">
        <v>813559.3</v>
      </c>
      <c r="G1431" s="14"/>
      <c r="H1431" s="68">
        <f t="shared" si="84"/>
        <v>813559.3</v>
      </c>
      <c r="I1431" s="68">
        <f t="shared" si="85"/>
        <v>813559.3</v>
      </c>
      <c r="J1431" s="83"/>
      <c r="K1431" s="75"/>
      <c r="L1431" s="201"/>
    </row>
    <row r="1432" spans="1:12" x14ac:dyDescent="0.2">
      <c r="A1432" s="192"/>
      <c r="B1432" s="103"/>
      <c r="C1432" s="103"/>
      <c r="D1432" s="194"/>
      <c r="E1432" s="14"/>
      <c r="F1432" s="58">
        <f>SUM(F1422:F1431)</f>
        <v>4258418.3899999997</v>
      </c>
      <c r="G1432" s="14"/>
      <c r="H1432" s="58">
        <f>SUM(H1422:H1431)</f>
        <v>4258418.3899999997</v>
      </c>
      <c r="I1432" s="58">
        <f t="shared" si="85"/>
        <v>4258418.3899999997</v>
      </c>
      <c r="J1432" s="83"/>
      <c r="K1432" s="75"/>
      <c r="L1432" s="201"/>
    </row>
    <row r="1433" spans="1:12" x14ac:dyDescent="0.2">
      <c r="A1433" s="25" t="s">
        <v>356</v>
      </c>
      <c r="B1433" s="103"/>
      <c r="C1433" s="103"/>
      <c r="D1433" s="195"/>
      <c r="E1433" s="72">
        <f>E142+E164+E261+E301+E406+E555+E593+E602+E615+E657+E666+E746+E756+E769+E822+E1196+E1205+E1220+E1351+E1360+E1364+E1405+E1415</f>
        <v>437829287.68999988</v>
      </c>
      <c r="F1433" s="72">
        <f>F142+F164+F261+F301+F406+F555+F593+F602+F615+F657+F666+F746+F756+F769+F822+F1196+F1205+F1220+F1351+F1360+F1364+F1405+F1415+F1419+F1432</f>
        <v>947257974.01999974</v>
      </c>
      <c r="G1433" s="72">
        <f t="shared" ref="G1433" si="86">G142+G164+G261+G301+G406+G555+G593+G602+G615+G657+G666+G746+G756+G769+G822+G1196+G1205+G1220+G1351+G1360+G1364+G1405+G1415</f>
        <v>162480430.64999998</v>
      </c>
      <c r="H1433" s="58">
        <f>H142+H164+H261+H301+H406+H555+H593+H602+H615+H657+H666+H746+H756+H769+H822+H1196+H1205+H1220+H1351+H1360+H1364+H1405+H1415+H1419+H1432</f>
        <v>1547567692.3599994</v>
      </c>
      <c r="I1433" s="58">
        <f>I142+I164+I261+I301+I406+I555+I593+I602+I615+I657+I666+I746+I756+I769+I822+I1196+I1205+I1220+I1351+I1360+I1364+I1405+I1415+I1419+I1432</f>
        <v>1547567692.3599994</v>
      </c>
      <c r="J1433" s="83"/>
      <c r="K1433" s="75"/>
      <c r="L1433" s="201"/>
    </row>
    <row r="1436" spans="1:12" x14ac:dyDescent="0.2">
      <c r="A1436" s="36" t="s">
        <v>377</v>
      </c>
      <c r="J1436" s="99"/>
    </row>
    <row r="1437" spans="1:12" x14ac:dyDescent="0.2">
      <c r="A1437" s="36"/>
      <c r="J1437" s="99"/>
    </row>
    <row r="1438" spans="1:12" x14ac:dyDescent="0.2">
      <c r="A1438" s="36" t="s">
        <v>378</v>
      </c>
      <c r="C1438" s="105" t="s">
        <v>379</v>
      </c>
      <c r="G1438" s="97" t="s">
        <v>380</v>
      </c>
      <c r="J1438" s="99"/>
    </row>
    <row r="1439" spans="1:12" x14ac:dyDescent="0.2">
      <c r="A1439" s="36"/>
      <c r="J1439" s="99"/>
    </row>
    <row r="1440" spans="1:12" x14ac:dyDescent="0.2">
      <c r="A1440" s="36" t="s">
        <v>381</v>
      </c>
      <c r="F1440" s="97" t="s">
        <v>382</v>
      </c>
      <c r="J1440" s="99"/>
    </row>
    <row r="1441" spans="1:10" x14ac:dyDescent="0.2">
      <c r="A1441" s="36"/>
      <c r="J1441" s="99"/>
    </row>
    <row r="1442" spans="1:10" ht="24" x14ac:dyDescent="0.2">
      <c r="A1442" s="36" t="s">
        <v>383</v>
      </c>
      <c r="C1442" s="105" t="s">
        <v>379</v>
      </c>
      <c r="G1442" s="97" t="s">
        <v>384</v>
      </c>
      <c r="J1442" s="99"/>
    </row>
    <row r="1443" spans="1:10" x14ac:dyDescent="0.2">
      <c r="A1443" s="36"/>
      <c r="J1443" s="99"/>
    </row>
    <row r="1444" spans="1:10" x14ac:dyDescent="0.2">
      <c r="A1444" s="36" t="s">
        <v>385</v>
      </c>
      <c r="C1444" s="105" t="s">
        <v>379</v>
      </c>
      <c r="G1444" s="97" t="s">
        <v>386</v>
      </c>
      <c r="J1444" s="99"/>
    </row>
    <row r="1445" spans="1:10" x14ac:dyDescent="0.2">
      <c r="A1445" s="36"/>
      <c r="J1445" s="99"/>
    </row>
    <row r="1446" spans="1:10" x14ac:dyDescent="0.2">
      <c r="A1446" s="36"/>
      <c r="J1446" s="99"/>
    </row>
    <row r="1447" spans="1:10" x14ac:dyDescent="0.2">
      <c r="A1447" s="36" t="s">
        <v>387</v>
      </c>
      <c r="C1447" s="105" t="s">
        <v>379</v>
      </c>
      <c r="G1447" s="97" t="s">
        <v>388</v>
      </c>
      <c r="J1447" s="99"/>
    </row>
  </sheetData>
  <sheetProtection selectLockedCells="1" selectUnlockedCells="1"/>
  <mergeCells count="1">
    <mergeCell ref="A1:K6"/>
  </mergeCells>
  <phoneticPr fontId="0" type="noConversion"/>
  <conditionalFormatting sqref="A605:A607">
    <cfRule type="duplicateValues" dxfId="4" priority="5" stopIfTrue="1"/>
  </conditionalFormatting>
  <conditionalFormatting sqref="A806">
    <cfRule type="duplicateValues" dxfId="3" priority="3" stopIfTrue="1"/>
  </conditionalFormatting>
  <conditionalFormatting sqref="F607">
    <cfRule type="duplicateValues" dxfId="2" priority="6" stopIfTrue="1"/>
  </conditionalFormatting>
  <conditionalFormatting sqref="F806">
    <cfRule type="duplicateValues" dxfId="1" priority="7" stopIfTrue="1"/>
  </conditionalFormatting>
  <conditionalFormatting sqref="F608:F609">
    <cfRule type="duplicateValues" dxfId="0" priority="8" stopIfTrue="1"/>
  </conditionalFormatting>
  <pageMargins left="3.937007874015748E-2" right="3.937007874015748E-2" top="0.27559055118110237" bottom="0.19685039370078741" header="0.31496062992125984" footer="0.31496062992125984"/>
  <pageSetup paperSize="9" scale="61" firstPageNumber="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Протасова Аксинья Геннадьевна</cp:lastModifiedBy>
  <cp:lastPrinted>2018-07-24T10:13:10Z</cp:lastPrinted>
  <dcterms:created xsi:type="dcterms:W3CDTF">2012-02-13T09:39:08Z</dcterms:created>
  <dcterms:modified xsi:type="dcterms:W3CDTF">2018-07-26T08:15:28Z</dcterms:modified>
</cp:coreProperties>
</file>