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workbookProtection workbookPassword="D27F" lockStructure="1"/>
  <bookViews>
    <workbookView xWindow="7845" yWindow="-75" windowWidth="23100" windowHeight="12360"/>
  </bookViews>
  <sheets>
    <sheet name="инвентаризация" sheetId="1" r:id="rId1"/>
  </sheets>
  <definedNames>
    <definedName name="_xlnm.Print_Area" localSheetId="0">инвентаризация!$A$1:$L$1162</definedName>
  </definedNames>
  <calcPr calcId="145621"/>
</workbook>
</file>

<file path=xl/calcChain.xml><?xml version="1.0" encoding="utf-8"?>
<calcChain xmlns="http://schemas.openxmlformats.org/spreadsheetml/2006/main">
  <c r="G1118" i="1" l="1"/>
  <c r="F1118" i="1"/>
  <c r="E1118" i="1"/>
  <c r="G971" i="1"/>
  <c r="F971" i="1"/>
  <c r="E971" i="1"/>
  <c r="H1110" i="1"/>
  <c r="H1118" i="1" s="1"/>
  <c r="H1096" i="1"/>
  <c r="I1096" i="1" s="1"/>
  <c r="H1095" i="1"/>
  <c r="H1097" i="1" s="1"/>
  <c r="H1069" i="1"/>
  <c r="I1069" i="1" s="1"/>
  <c r="H1068" i="1"/>
  <c r="I1068" i="1" s="1"/>
  <c r="H1067" i="1"/>
  <c r="I1067" i="1" s="1"/>
  <c r="H1066" i="1"/>
  <c r="I1066" i="1" s="1"/>
  <c r="H1065" i="1"/>
  <c r="I1065" i="1" s="1"/>
  <c r="H1064" i="1"/>
  <c r="I1064" i="1" s="1"/>
  <c r="H1063" i="1"/>
  <c r="I1063" i="1" s="1"/>
  <c r="H1062" i="1"/>
  <c r="I1062" i="1" s="1"/>
  <c r="H1061" i="1"/>
  <c r="I1061" i="1" s="1"/>
  <c r="H1060" i="1"/>
  <c r="I1060" i="1" s="1"/>
  <c r="H1059" i="1"/>
  <c r="I1059" i="1" s="1"/>
  <c r="H1058" i="1"/>
  <c r="H1070" i="1"/>
  <c r="I1070" i="1" s="1"/>
  <c r="H1057" i="1"/>
  <c r="I1057" i="1" s="1"/>
  <c r="E1043" i="1"/>
  <c r="H1043" i="1" s="1"/>
  <c r="I1043" i="1" s="1"/>
  <c r="H1039" i="1"/>
  <c r="I1039" i="1" s="1"/>
  <c r="H1033" i="1"/>
  <c r="I1033" i="1" s="1"/>
  <c r="H1034" i="1"/>
  <c r="I1034" i="1" s="1"/>
  <c r="H1035" i="1"/>
  <c r="I1035" i="1" s="1"/>
  <c r="H1036" i="1"/>
  <c r="H1037" i="1"/>
  <c r="I1037" i="1" s="1"/>
  <c r="H1038" i="1"/>
  <c r="I1038" i="1" s="1"/>
  <c r="H1054" i="1"/>
  <c r="I1054" i="1" s="1"/>
  <c r="H1041" i="1"/>
  <c r="I1041" i="1" s="1"/>
  <c r="H1042" i="1"/>
  <c r="I1042" i="1" s="1"/>
  <c r="H1056" i="1"/>
  <c r="I1056" i="1" s="1"/>
  <c r="H1044" i="1"/>
  <c r="I1044" i="1" s="1"/>
  <c r="H1031" i="1"/>
  <c r="I1031" i="1" s="1"/>
  <c r="H1020" i="1"/>
  <c r="I1020" i="1" s="1"/>
  <c r="H984" i="1"/>
  <c r="I984" i="1" s="1"/>
  <c r="H982" i="1"/>
  <c r="I982" i="1" s="1"/>
  <c r="I971" i="1"/>
  <c r="H921" i="1"/>
  <c r="I921" i="1" s="1"/>
  <c r="H958" i="1"/>
  <c r="I958" i="1" s="1"/>
  <c r="H947" i="1"/>
  <c r="I947" i="1" s="1"/>
  <c r="H942" i="1"/>
  <c r="I942" i="1" s="1"/>
  <c r="H941" i="1"/>
  <c r="I941" i="1" s="1"/>
  <c r="H940" i="1"/>
  <c r="I940" i="1" s="1"/>
  <c r="E939" i="1"/>
  <c r="H939" i="1" s="1"/>
  <c r="I939" i="1" s="1"/>
  <c r="H929" i="1"/>
  <c r="I929" i="1" s="1"/>
  <c r="H918" i="1"/>
  <c r="I918" i="1" s="1"/>
  <c r="H915" i="1"/>
  <c r="I915" i="1" s="1"/>
  <c r="H910" i="1"/>
  <c r="I910" i="1" s="1"/>
  <c r="E904" i="1"/>
  <c r="H904" i="1" s="1"/>
  <c r="I904" i="1" s="1"/>
  <c r="H897" i="1"/>
  <c r="I897" i="1" s="1"/>
  <c r="H889" i="1"/>
  <c r="I889" i="1" s="1"/>
  <c r="H883" i="1"/>
  <c r="I883" i="1" s="1"/>
  <c r="E872" i="1"/>
  <c r="H872" i="1" s="1"/>
  <c r="I872" i="1" s="1"/>
  <c r="H862" i="1"/>
  <c r="I862" i="1" s="1"/>
  <c r="H855" i="1"/>
  <c r="I855" i="1" s="1"/>
  <c r="H852" i="1"/>
  <c r="I852" i="1" s="1"/>
  <c r="H848" i="1"/>
  <c r="I848" i="1" s="1"/>
  <c r="H843" i="1"/>
  <c r="I843" i="1" s="1"/>
  <c r="H835" i="1"/>
  <c r="I835" i="1" s="1"/>
  <c r="H830" i="1"/>
  <c r="I830" i="1" s="1"/>
  <c r="E823" i="1"/>
  <c r="H823" i="1" s="1"/>
  <c r="I823" i="1" s="1"/>
  <c r="H820" i="1"/>
  <c r="I820" i="1" s="1"/>
  <c r="H819" i="1"/>
  <c r="I819" i="1" s="1"/>
  <c r="E812" i="1"/>
  <c r="H812" i="1" s="1"/>
  <c r="I812" i="1" s="1"/>
  <c r="H800" i="1"/>
  <c r="I800" i="1" s="1"/>
  <c r="H793" i="1"/>
  <c r="I793" i="1" s="1"/>
  <c r="H787" i="1"/>
  <c r="I787" i="1" s="1"/>
  <c r="F785" i="1"/>
  <c r="F964" i="1" s="1"/>
  <c r="G785" i="1"/>
  <c r="G964" i="1" s="1"/>
  <c r="H781" i="1"/>
  <c r="I781" i="1" s="1"/>
  <c r="H768" i="1"/>
  <c r="I768" i="1" s="1"/>
  <c r="H767" i="1"/>
  <c r="I767" i="1" s="1"/>
  <c r="H744" i="1"/>
  <c r="I744" i="1" s="1"/>
  <c r="H742" i="1"/>
  <c r="I742" i="1" s="1"/>
  <c r="H737" i="1"/>
  <c r="I737" i="1" s="1"/>
  <c r="H735" i="1"/>
  <c r="I735" i="1" s="1"/>
  <c r="H716" i="1"/>
  <c r="I716" i="1" s="1"/>
  <c r="H714" i="1"/>
  <c r="I714" i="1" s="1"/>
  <c r="H708" i="1"/>
  <c r="I708" i="1" s="1"/>
  <c r="H703" i="1"/>
  <c r="I703" i="1" s="1"/>
  <c r="H701" i="1"/>
  <c r="I701" i="1" s="1"/>
  <c r="H698" i="1"/>
  <c r="I698" i="1" s="1"/>
  <c r="H695" i="1"/>
  <c r="I695" i="1" s="1"/>
  <c r="H694" i="1"/>
  <c r="I694" i="1" s="1"/>
  <c r="H693" i="1"/>
  <c r="I693" i="1" s="1"/>
  <c r="I1110" i="1" l="1"/>
  <c r="I1118" i="1" s="1"/>
  <c r="I1095" i="1"/>
  <c r="I1058" i="1"/>
  <c r="I1036" i="1"/>
  <c r="E964" i="1"/>
  <c r="H785" i="1"/>
  <c r="I785" i="1" s="1"/>
  <c r="E455" i="1" l="1"/>
  <c r="F455" i="1"/>
  <c r="H449" i="1"/>
  <c r="I449" i="1" s="1"/>
  <c r="H450" i="1"/>
  <c r="H451" i="1"/>
  <c r="I451" i="1" s="1"/>
  <c r="H452" i="1"/>
  <c r="I452" i="1" s="1"/>
  <c r="H453" i="1"/>
  <c r="I453" i="1" s="1"/>
  <c r="H454" i="1"/>
  <c r="I454" i="1" s="1"/>
  <c r="H448" i="1"/>
  <c r="I448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47" i="1"/>
  <c r="E47" i="1"/>
  <c r="G46" i="1"/>
  <c r="H46" i="1" s="1"/>
  <c r="I46" i="1" s="1"/>
  <c r="G45" i="1"/>
  <c r="H45" i="1" s="1"/>
  <c r="I45" i="1" s="1"/>
  <c r="G44" i="1"/>
  <c r="H44" i="1" s="1"/>
  <c r="I44" i="1" s="1"/>
  <c r="G43" i="1"/>
  <c r="E43" i="1"/>
  <c r="G42" i="1"/>
  <c r="E42" i="1"/>
  <c r="G41" i="1"/>
  <c r="E41" i="1"/>
  <c r="G40" i="1"/>
  <c r="H40" i="1" s="1"/>
  <c r="I40" i="1" s="1"/>
  <c r="G39" i="1"/>
  <c r="H39" i="1" s="1"/>
  <c r="I39" i="1" s="1"/>
  <c r="G38" i="1"/>
  <c r="E38" i="1"/>
  <c r="G37" i="1"/>
  <c r="H37" i="1" s="1"/>
  <c r="I37" i="1" s="1"/>
  <c r="G36" i="1"/>
  <c r="E36" i="1"/>
  <c r="G35" i="1"/>
  <c r="F35" i="1"/>
  <c r="H35" i="1" s="1"/>
  <c r="I35" i="1" s="1"/>
  <c r="G34" i="1"/>
  <c r="F34" i="1"/>
  <c r="E34" i="1"/>
  <c r="H47" i="1" l="1"/>
  <c r="I47" i="1" s="1"/>
  <c r="H38" i="1"/>
  <c r="I38" i="1" s="1"/>
  <c r="H42" i="1"/>
  <c r="I42" i="1" s="1"/>
  <c r="H455" i="1"/>
  <c r="H34" i="1"/>
  <c r="I34" i="1" s="1"/>
  <c r="H36" i="1"/>
  <c r="I36" i="1" s="1"/>
  <c r="H41" i="1"/>
  <c r="I41" i="1" s="1"/>
  <c r="H43" i="1"/>
  <c r="I43" i="1" s="1"/>
  <c r="I450" i="1"/>
  <c r="I455" i="1" s="1"/>
  <c r="H963" i="1" l="1"/>
  <c r="I963" i="1" s="1"/>
  <c r="H962" i="1"/>
  <c r="I962" i="1" s="1"/>
  <c r="H961" i="1"/>
  <c r="I961" i="1" s="1"/>
  <c r="H960" i="1"/>
  <c r="I960" i="1" s="1"/>
  <c r="H959" i="1"/>
  <c r="I959" i="1" s="1"/>
  <c r="H957" i="1"/>
  <c r="I957" i="1" s="1"/>
  <c r="H956" i="1"/>
  <c r="I956" i="1" s="1"/>
  <c r="H955" i="1"/>
  <c r="I955" i="1" s="1"/>
  <c r="H954" i="1"/>
  <c r="I954" i="1" s="1"/>
  <c r="H953" i="1"/>
  <c r="I953" i="1" s="1"/>
  <c r="H952" i="1"/>
  <c r="I952" i="1" s="1"/>
  <c r="H951" i="1"/>
  <c r="I951" i="1" s="1"/>
  <c r="H950" i="1"/>
  <c r="I950" i="1" s="1"/>
  <c r="H949" i="1"/>
  <c r="I949" i="1" s="1"/>
  <c r="H948" i="1"/>
  <c r="I948" i="1" s="1"/>
  <c r="H946" i="1"/>
  <c r="I946" i="1" s="1"/>
  <c r="H945" i="1"/>
  <c r="I945" i="1" s="1"/>
  <c r="H944" i="1"/>
  <c r="I944" i="1" s="1"/>
  <c r="H943" i="1"/>
  <c r="I943" i="1" s="1"/>
  <c r="H938" i="1"/>
  <c r="I938" i="1" s="1"/>
  <c r="H937" i="1"/>
  <c r="I937" i="1" s="1"/>
  <c r="H936" i="1"/>
  <c r="I936" i="1" s="1"/>
  <c r="H935" i="1"/>
  <c r="I935" i="1" s="1"/>
  <c r="H934" i="1"/>
  <c r="I934" i="1" s="1"/>
  <c r="H933" i="1"/>
  <c r="I933" i="1" s="1"/>
  <c r="H932" i="1"/>
  <c r="I932" i="1" s="1"/>
  <c r="H931" i="1"/>
  <c r="I931" i="1" s="1"/>
  <c r="H930" i="1"/>
  <c r="I930" i="1" s="1"/>
  <c r="H928" i="1"/>
  <c r="I928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0" i="1"/>
  <c r="I920" i="1" s="1"/>
  <c r="H919" i="1"/>
  <c r="I919" i="1" s="1"/>
  <c r="H917" i="1"/>
  <c r="I917" i="1" s="1"/>
  <c r="H916" i="1"/>
  <c r="I916" i="1" s="1"/>
  <c r="H914" i="1"/>
  <c r="I914" i="1" s="1"/>
  <c r="H913" i="1"/>
  <c r="I913" i="1" s="1"/>
  <c r="H912" i="1"/>
  <c r="I912" i="1" s="1"/>
  <c r="H911" i="1"/>
  <c r="I911" i="1" s="1"/>
  <c r="H909" i="1"/>
  <c r="I909" i="1" s="1"/>
  <c r="H908" i="1"/>
  <c r="I908" i="1" s="1"/>
  <c r="H907" i="1"/>
  <c r="I907" i="1" s="1"/>
  <c r="H906" i="1"/>
  <c r="I906" i="1" s="1"/>
  <c r="H905" i="1"/>
  <c r="I905" i="1" s="1"/>
  <c r="H903" i="1"/>
  <c r="I903" i="1" s="1"/>
  <c r="H902" i="1"/>
  <c r="I902" i="1" s="1"/>
  <c r="H901" i="1"/>
  <c r="I901" i="1" s="1"/>
  <c r="H900" i="1"/>
  <c r="I900" i="1" s="1"/>
  <c r="H899" i="1"/>
  <c r="I899" i="1" s="1"/>
  <c r="H898" i="1"/>
  <c r="I898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8" i="1"/>
  <c r="I888" i="1" s="1"/>
  <c r="H887" i="1"/>
  <c r="I887" i="1" s="1"/>
  <c r="H886" i="1"/>
  <c r="I886" i="1" s="1"/>
  <c r="H885" i="1"/>
  <c r="I885" i="1" s="1"/>
  <c r="H884" i="1"/>
  <c r="I884" i="1" s="1"/>
  <c r="H882" i="1"/>
  <c r="I882" i="1" s="1"/>
  <c r="H881" i="1"/>
  <c r="I881" i="1" s="1"/>
  <c r="H880" i="1"/>
  <c r="I880" i="1" s="1"/>
  <c r="H879" i="1"/>
  <c r="I879" i="1" s="1"/>
  <c r="H878" i="1"/>
  <c r="I878" i="1" s="1"/>
  <c r="H877" i="1"/>
  <c r="I877" i="1" s="1"/>
  <c r="H876" i="1"/>
  <c r="I876" i="1" s="1"/>
  <c r="H875" i="1"/>
  <c r="I875" i="1" s="1"/>
  <c r="H874" i="1"/>
  <c r="I874" i="1" s="1"/>
  <c r="H873" i="1"/>
  <c r="I873" i="1" s="1"/>
  <c r="H871" i="1"/>
  <c r="I871" i="1" s="1"/>
  <c r="H870" i="1"/>
  <c r="I870" i="1" s="1"/>
  <c r="H869" i="1"/>
  <c r="I869" i="1" s="1"/>
  <c r="H868" i="1"/>
  <c r="I868" i="1" s="1"/>
  <c r="H867" i="1"/>
  <c r="I867" i="1" s="1"/>
  <c r="H866" i="1"/>
  <c r="I866" i="1" s="1"/>
  <c r="H865" i="1"/>
  <c r="I865" i="1" s="1"/>
  <c r="H864" i="1"/>
  <c r="I864" i="1" s="1"/>
  <c r="H863" i="1"/>
  <c r="I863" i="1" s="1"/>
  <c r="H861" i="1"/>
  <c r="I861" i="1" s="1"/>
  <c r="H860" i="1"/>
  <c r="I860" i="1" s="1"/>
  <c r="H859" i="1"/>
  <c r="I859" i="1" s="1"/>
  <c r="H858" i="1"/>
  <c r="I858" i="1" s="1"/>
  <c r="H857" i="1"/>
  <c r="I857" i="1" s="1"/>
  <c r="H856" i="1"/>
  <c r="I856" i="1" s="1"/>
  <c r="H854" i="1"/>
  <c r="I854" i="1" s="1"/>
  <c r="H853" i="1"/>
  <c r="I853" i="1" s="1"/>
  <c r="H851" i="1"/>
  <c r="I851" i="1" s="1"/>
  <c r="H850" i="1"/>
  <c r="I850" i="1" s="1"/>
  <c r="H849" i="1"/>
  <c r="I849" i="1" s="1"/>
  <c r="H847" i="1"/>
  <c r="I847" i="1" s="1"/>
  <c r="H846" i="1"/>
  <c r="I846" i="1" s="1"/>
  <c r="H845" i="1"/>
  <c r="I845" i="1" s="1"/>
  <c r="H844" i="1"/>
  <c r="I844" i="1" s="1"/>
  <c r="H842" i="1"/>
  <c r="I842" i="1" s="1"/>
  <c r="H841" i="1"/>
  <c r="I841" i="1" s="1"/>
  <c r="H840" i="1"/>
  <c r="I840" i="1" s="1"/>
  <c r="H839" i="1"/>
  <c r="I839" i="1" s="1"/>
  <c r="H838" i="1"/>
  <c r="I838" i="1" s="1"/>
  <c r="H837" i="1"/>
  <c r="I837" i="1" s="1"/>
  <c r="H836" i="1"/>
  <c r="I836" i="1" s="1"/>
  <c r="H834" i="1"/>
  <c r="I834" i="1" s="1"/>
  <c r="H833" i="1"/>
  <c r="I833" i="1" s="1"/>
  <c r="H832" i="1"/>
  <c r="I832" i="1" s="1"/>
  <c r="H831" i="1"/>
  <c r="I831" i="1" s="1"/>
  <c r="H829" i="1"/>
  <c r="I829" i="1" s="1"/>
  <c r="H828" i="1"/>
  <c r="I828" i="1" s="1"/>
  <c r="H827" i="1"/>
  <c r="I827" i="1" s="1"/>
  <c r="H826" i="1"/>
  <c r="I826" i="1" s="1"/>
  <c r="H825" i="1"/>
  <c r="I825" i="1" s="1"/>
  <c r="H824" i="1"/>
  <c r="I824" i="1" s="1"/>
  <c r="H822" i="1"/>
  <c r="I822" i="1" s="1"/>
  <c r="H821" i="1"/>
  <c r="I821" i="1" s="1"/>
  <c r="H818" i="1"/>
  <c r="I818" i="1" s="1"/>
  <c r="H817" i="1"/>
  <c r="I817" i="1" s="1"/>
  <c r="H816" i="1"/>
  <c r="I816" i="1" s="1"/>
  <c r="H815" i="1"/>
  <c r="I815" i="1" s="1"/>
  <c r="H814" i="1"/>
  <c r="I814" i="1" s="1"/>
  <c r="H813" i="1"/>
  <c r="I813" i="1" s="1"/>
  <c r="H811" i="1"/>
  <c r="I811" i="1" s="1"/>
  <c r="H810" i="1"/>
  <c r="I810" i="1" s="1"/>
  <c r="H809" i="1"/>
  <c r="I809" i="1" s="1"/>
  <c r="H808" i="1"/>
  <c r="I808" i="1" s="1"/>
  <c r="H807" i="1"/>
  <c r="I807" i="1" s="1"/>
  <c r="H806" i="1"/>
  <c r="I806" i="1" s="1"/>
  <c r="H805" i="1"/>
  <c r="I805" i="1" s="1"/>
  <c r="H804" i="1"/>
  <c r="I804" i="1" s="1"/>
  <c r="H803" i="1"/>
  <c r="I803" i="1" s="1"/>
  <c r="H802" i="1"/>
  <c r="I802" i="1" s="1"/>
  <c r="H801" i="1"/>
  <c r="I801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2" i="1"/>
  <c r="I792" i="1" s="1"/>
  <c r="H791" i="1"/>
  <c r="I791" i="1" s="1"/>
  <c r="H790" i="1"/>
  <c r="I790" i="1" s="1"/>
  <c r="H789" i="1"/>
  <c r="I789" i="1" s="1"/>
  <c r="H788" i="1"/>
  <c r="I788" i="1" s="1"/>
  <c r="H786" i="1"/>
  <c r="I786" i="1" s="1"/>
  <c r="H784" i="1"/>
  <c r="I784" i="1" s="1"/>
  <c r="H783" i="1"/>
  <c r="I783" i="1" s="1"/>
  <c r="H782" i="1"/>
  <c r="I782" i="1" s="1"/>
  <c r="H780" i="1"/>
  <c r="I780" i="1" s="1"/>
  <c r="H779" i="1"/>
  <c r="I779" i="1" s="1"/>
  <c r="H778" i="1"/>
  <c r="I778" i="1" s="1"/>
  <c r="H777" i="1"/>
  <c r="I777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H745" i="1"/>
  <c r="I745" i="1" s="1"/>
  <c r="H743" i="1"/>
  <c r="I743" i="1" s="1"/>
  <c r="H741" i="1"/>
  <c r="I741" i="1" s="1"/>
  <c r="H740" i="1"/>
  <c r="I740" i="1" s="1"/>
  <c r="H739" i="1"/>
  <c r="I739" i="1" s="1"/>
  <c r="H738" i="1"/>
  <c r="I738" i="1" s="1"/>
  <c r="H736" i="1"/>
  <c r="I736" i="1" s="1"/>
  <c r="H734" i="1"/>
  <c r="I734" i="1" s="1"/>
  <c r="H733" i="1"/>
  <c r="I733" i="1" s="1"/>
  <c r="H732" i="1"/>
  <c r="I732" i="1" s="1"/>
  <c r="H731" i="1"/>
  <c r="I731" i="1" s="1"/>
  <c r="H730" i="1"/>
  <c r="I730" i="1" s="1"/>
  <c r="H729" i="1"/>
  <c r="I729" i="1" s="1"/>
  <c r="H728" i="1"/>
  <c r="I728" i="1" s="1"/>
  <c r="H727" i="1"/>
  <c r="I727" i="1" s="1"/>
  <c r="H726" i="1"/>
  <c r="I726" i="1" s="1"/>
  <c r="H725" i="1"/>
  <c r="I725" i="1" s="1"/>
  <c r="H724" i="1"/>
  <c r="I724" i="1" s="1"/>
  <c r="H723" i="1"/>
  <c r="I723" i="1" s="1"/>
  <c r="H722" i="1"/>
  <c r="I722" i="1" s="1"/>
  <c r="H721" i="1"/>
  <c r="I721" i="1" s="1"/>
  <c r="H720" i="1"/>
  <c r="I720" i="1" s="1"/>
  <c r="H719" i="1"/>
  <c r="I719" i="1" s="1"/>
  <c r="H718" i="1"/>
  <c r="I718" i="1" s="1"/>
  <c r="H717" i="1"/>
  <c r="I717" i="1" s="1"/>
  <c r="H715" i="1"/>
  <c r="I715" i="1" s="1"/>
  <c r="H713" i="1"/>
  <c r="I713" i="1" s="1"/>
  <c r="H712" i="1"/>
  <c r="I712" i="1" s="1"/>
  <c r="H711" i="1"/>
  <c r="I711" i="1" s="1"/>
  <c r="H710" i="1"/>
  <c r="I710" i="1" s="1"/>
  <c r="H709" i="1"/>
  <c r="I709" i="1" s="1"/>
  <c r="H707" i="1"/>
  <c r="I707" i="1" s="1"/>
  <c r="H706" i="1"/>
  <c r="I706" i="1" s="1"/>
  <c r="H705" i="1"/>
  <c r="I705" i="1" s="1"/>
  <c r="H704" i="1"/>
  <c r="I704" i="1" s="1"/>
  <c r="H702" i="1"/>
  <c r="H700" i="1"/>
  <c r="I700" i="1" s="1"/>
  <c r="H699" i="1"/>
  <c r="I699" i="1" s="1"/>
  <c r="H697" i="1"/>
  <c r="I697" i="1" s="1"/>
  <c r="H696" i="1"/>
  <c r="I696" i="1" s="1"/>
  <c r="H692" i="1"/>
  <c r="I692" i="1" s="1"/>
  <c r="H691" i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966" i="1"/>
  <c r="H967" i="1"/>
  <c r="H968" i="1"/>
  <c r="H969" i="1"/>
  <c r="H970" i="1"/>
  <c r="H974" i="1"/>
  <c r="I974" i="1" s="1"/>
  <c r="H975" i="1"/>
  <c r="I975" i="1" s="1"/>
  <c r="H976" i="1"/>
  <c r="I976" i="1" s="1"/>
  <c r="H977" i="1"/>
  <c r="I977" i="1" s="1"/>
  <c r="H978" i="1"/>
  <c r="I978" i="1" s="1"/>
  <c r="E979" i="1"/>
  <c r="F979" i="1"/>
  <c r="G979" i="1"/>
  <c r="H983" i="1"/>
  <c r="H985" i="1"/>
  <c r="I985" i="1" s="1"/>
  <c r="H986" i="1"/>
  <c r="H987" i="1"/>
  <c r="I987" i="1" s="1"/>
  <c r="H988" i="1"/>
  <c r="I988" i="1" s="1"/>
  <c r="H989" i="1"/>
  <c r="I989" i="1" s="1"/>
  <c r="H990" i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H1019" i="1"/>
  <c r="I1019" i="1" s="1"/>
  <c r="H1021" i="1"/>
  <c r="I1021" i="1" s="1"/>
  <c r="H1022" i="1"/>
  <c r="I1022" i="1" s="1"/>
  <c r="H1023" i="1"/>
  <c r="I1023" i="1" s="1"/>
  <c r="H1024" i="1"/>
  <c r="I1024" i="1" s="1"/>
  <c r="I986" i="1" l="1"/>
  <c r="I983" i="1"/>
  <c r="H971" i="1"/>
  <c r="I702" i="1"/>
  <c r="H964" i="1"/>
  <c r="I691" i="1"/>
  <c r="I979" i="1"/>
  <c r="I1018" i="1"/>
  <c r="I1010" i="1"/>
  <c r="I1004" i="1"/>
  <c r="I998" i="1"/>
  <c r="I990" i="1"/>
  <c r="H979" i="1"/>
  <c r="I1093" i="1"/>
  <c r="G1093" i="1"/>
  <c r="E1093" i="1"/>
  <c r="F1092" i="1"/>
  <c r="H1092" i="1" s="1"/>
  <c r="F1091" i="1"/>
  <c r="H1091" i="1" s="1"/>
  <c r="F1090" i="1"/>
  <c r="H1090" i="1" s="1"/>
  <c r="F1089" i="1"/>
  <c r="H1089" i="1" s="1"/>
  <c r="F1088" i="1"/>
  <c r="H1088" i="1" s="1"/>
  <c r="F1087" i="1"/>
  <c r="H1087" i="1" s="1"/>
  <c r="F1086" i="1"/>
  <c r="H1086" i="1" s="1"/>
  <c r="F1085" i="1"/>
  <c r="H1085" i="1" s="1"/>
  <c r="F1084" i="1"/>
  <c r="H1084" i="1" s="1"/>
  <c r="F1083" i="1"/>
  <c r="H1083" i="1" s="1"/>
  <c r="F1082" i="1"/>
  <c r="H1082" i="1" s="1"/>
  <c r="F1081" i="1"/>
  <c r="H1081" i="1" s="1"/>
  <c r="F1080" i="1"/>
  <c r="H1080" i="1" s="1"/>
  <c r="F1079" i="1"/>
  <c r="H1079" i="1" s="1"/>
  <c r="F1078" i="1"/>
  <c r="H1078" i="1" s="1"/>
  <c r="H1093" i="1" l="1"/>
  <c r="I964" i="1"/>
  <c r="F1093" i="1"/>
  <c r="H617" i="1"/>
  <c r="I617" i="1"/>
  <c r="G617" i="1"/>
  <c r="F617" i="1"/>
  <c r="E617" i="1"/>
  <c r="I1107" i="1" l="1"/>
  <c r="H1107" i="1"/>
  <c r="G1107" i="1"/>
  <c r="F1107" i="1"/>
  <c r="E1107" i="1"/>
  <c r="G1097" i="1"/>
  <c r="F1097" i="1"/>
  <c r="E1097" i="1"/>
  <c r="G1075" i="1"/>
  <c r="F1075" i="1"/>
  <c r="E1075" i="1"/>
  <c r="H1074" i="1"/>
  <c r="I1074" i="1" s="1"/>
  <c r="H1073" i="1"/>
  <c r="H1072" i="1"/>
  <c r="I1072" i="1" s="1"/>
  <c r="H1071" i="1"/>
  <c r="I1071" i="1" s="1"/>
  <c r="H1055" i="1"/>
  <c r="I1055" i="1" s="1"/>
  <c r="H1040" i="1"/>
  <c r="I1040" i="1" s="1"/>
  <c r="H1053" i="1"/>
  <c r="H1052" i="1"/>
  <c r="I1052" i="1" s="1"/>
  <c r="H1051" i="1"/>
  <c r="I1051" i="1" s="1"/>
  <c r="H1050" i="1"/>
  <c r="I1050" i="1" s="1"/>
  <c r="H1049" i="1"/>
  <c r="H1048" i="1"/>
  <c r="I1048" i="1" s="1"/>
  <c r="H1047" i="1"/>
  <c r="I1047" i="1" s="1"/>
  <c r="H1046" i="1"/>
  <c r="I1046" i="1" s="1"/>
  <c r="H1045" i="1"/>
  <c r="H1032" i="1"/>
  <c r="I1032" i="1" s="1"/>
  <c r="H1030" i="1"/>
  <c r="I1030" i="1" s="1"/>
  <c r="H1029" i="1"/>
  <c r="H1028" i="1"/>
  <c r="I1028" i="1" s="1"/>
  <c r="H1027" i="1"/>
  <c r="I1027" i="1" s="1"/>
  <c r="H1026" i="1"/>
  <c r="H1025" i="1"/>
  <c r="I1026" i="1" l="1"/>
  <c r="H1075" i="1"/>
  <c r="I1029" i="1"/>
  <c r="I1049" i="1"/>
  <c r="I1073" i="1"/>
  <c r="I1045" i="1"/>
  <c r="I1053" i="1"/>
  <c r="I1025" i="1"/>
  <c r="I1097" i="1" l="1"/>
  <c r="I1075" i="1"/>
  <c r="G567" i="1"/>
  <c r="F567" i="1"/>
  <c r="E567" i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H567" i="1" l="1"/>
  <c r="I560" i="1"/>
  <c r="I567" i="1" s="1"/>
  <c r="H558" i="1" l="1"/>
  <c r="G558" i="1"/>
  <c r="F558" i="1"/>
  <c r="E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58" i="1" l="1"/>
  <c r="I544" i="1" l="1"/>
  <c r="G544" i="1"/>
  <c r="F544" i="1"/>
  <c r="E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77" i="1"/>
  <c r="I477" i="1" s="1"/>
  <c r="H478" i="1"/>
  <c r="I478" i="1" s="1"/>
  <c r="H479" i="1"/>
  <c r="I479" i="1" s="1"/>
  <c r="H476" i="1"/>
  <c r="I476" i="1" s="1"/>
  <c r="F480" i="1"/>
  <c r="G480" i="1"/>
  <c r="E480" i="1"/>
  <c r="G473" i="1"/>
  <c r="F473" i="1"/>
  <c r="E473" i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H460" i="1"/>
  <c r="I460" i="1" s="1"/>
  <c r="H459" i="1"/>
  <c r="I459" i="1" s="1"/>
  <c r="H458" i="1"/>
  <c r="I461" i="1" l="1"/>
  <c r="H473" i="1"/>
  <c r="H480" i="1"/>
  <c r="I480" i="1" s="1"/>
  <c r="H544" i="1"/>
  <c r="I458" i="1"/>
  <c r="I473" i="1" l="1"/>
  <c r="G455" i="1"/>
  <c r="I445" i="1"/>
  <c r="H445" i="1"/>
  <c r="G445" i="1"/>
  <c r="F445" i="1"/>
  <c r="E445" i="1"/>
  <c r="G436" i="1"/>
  <c r="F436" i="1"/>
  <c r="E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G404" i="1"/>
  <c r="F404" i="1"/>
  <c r="E404" i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0" i="1"/>
  <c r="H290" i="1"/>
  <c r="F290" i="1"/>
  <c r="E290" i="1"/>
  <c r="I436" i="1" l="1"/>
  <c r="H436" i="1"/>
  <c r="H404" i="1"/>
  <c r="I292" i="1"/>
  <c r="I404" i="1" s="1"/>
  <c r="F190" i="1"/>
  <c r="G190" i="1"/>
  <c r="G194" i="1"/>
  <c r="H194" i="1" s="1"/>
  <c r="I194" i="1" s="1"/>
  <c r="G193" i="1" l="1"/>
  <c r="H193" i="1" s="1"/>
  <c r="I193" i="1" s="1"/>
  <c r="H192" i="1" l="1"/>
  <c r="I192" i="1" s="1"/>
  <c r="H189" i="1"/>
  <c r="I189" i="1" s="1"/>
  <c r="H188" i="1"/>
  <c r="I188" i="1" s="1"/>
  <c r="H187" i="1"/>
  <c r="I187" i="1" s="1"/>
  <c r="G184" i="1"/>
  <c r="H186" i="1"/>
  <c r="I186" i="1" s="1"/>
  <c r="H185" i="1"/>
  <c r="I185" i="1" s="1"/>
  <c r="G183" i="1"/>
  <c r="H180" i="1"/>
  <c r="I180" i="1" s="1"/>
  <c r="H179" i="1"/>
  <c r="I179" i="1" s="1"/>
  <c r="F177" i="1"/>
  <c r="E177" i="1"/>
  <c r="H176" i="1"/>
  <c r="I176" i="1" s="1"/>
  <c r="H174" i="1"/>
  <c r="I174" i="1" s="1"/>
  <c r="E173" i="1"/>
  <c r="G171" i="1"/>
  <c r="E169" i="1"/>
  <c r="E168" i="1"/>
  <c r="G163" i="1"/>
  <c r="H160" i="1"/>
  <c r="I160" i="1" s="1"/>
  <c r="G159" i="1"/>
  <c r="G129" i="1"/>
  <c r="H124" i="1"/>
  <c r="I124" i="1" s="1"/>
  <c r="G122" i="1" l="1"/>
  <c r="G29" i="1" l="1"/>
  <c r="F15" i="1"/>
  <c r="G144" i="1" l="1"/>
  <c r="G141" i="1"/>
  <c r="F141" i="1"/>
  <c r="G138" i="1"/>
  <c r="G137" i="1"/>
  <c r="G135" i="1"/>
  <c r="G133" i="1"/>
  <c r="G128" i="1"/>
  <c r="G127" i="1"/>
  <c r="F120" i="1"/>
  <c r="G120" i="1"/>
  <c r="G119" i="1"/>
  <c r="G118" i="1"/>
  <c r="G116" i="1"/>
  <c r="F115" i="1"/>
  <c r="G115" i="1"/>
  <c r="G114" i="1"/>
  <c r="G111" i="1"/>
  <c r="G109" i="1"/>
  <c r="G108" i="1"/>
  <c r="G107" i="1"/>
  <c r="F105" i="1"/>
  <c r="E80" i="1"/>
  <c r="E79" i="1"/>
  <c r="G78" i="1"/>
  <c r="G77" i="1"/>
  <c r="G75" i="1"/>
  <c r="G74" i="1"/>
  <c r="G73" i="1"/>
  <c r="G72" i="1"/>
  <c r="F70" i="1"/>
  <c r="E70" i="1"/>
  <c r="G70" i="1"/>
  <c r="E68" i="1"/>
  <c r="G68" i="1"/>
  <c r="G67" i="1"/>
  <c r="G66" i="1"/>
  <c r="G65" i="1"/>
  <c r="G64" i="1"/>
  <c r="G63" i="1"/>
  <c r="G62" i="1"/>
  <c r="G61" i="1"/>
  <c r="G60" i="1"/>
  <c r="G59" i="1"/>
  <c r="G58" i="1"/>
  <c r="F29" i="1"/>
  <c r="F17" i="1"/>
  <c r="F16" i="1"/>
  <c r="H161" i="1" l="1"/>
  <c r="H164" i="1"/>
  <c r="H166" i="1"/>
  <c r="H167" i="1"/>
  <c r="H168" i="1"/>
  <c r="H170" i="1"/>
  <c r="H172" i="1"/>
  <c r="H171" i="1"/>
  <c r="H175" i="1"/>
  <c r="H178" i="1"/>
  <c r="H181" i="1"/>
  <c r="H182" i="1"/>
  <c r="H183" i="1"/>
  <c r="H184" i="1"/>
  <c r="H177" i="1"/>
  <c r="I177" i="1" s="1"/>
  <c r="H195" i="1"/>
  <c r="E191" i="1"/>
  <c r="H191" i="1" s="1"/>
  <c r="I191" i="1" l="1"/>
  <c r="E163" i="1" l="1"/>
  <c r="H163" i="1" l="1"/>
  <c r="H138" i="1"/>
  <c r="I138" i="1" l="1"/>
  <c r="I184" i="1" l="1"/>
  <c r="I183" i="1"/>
  <c r="G173" i="1"/>
  <c r="H173" i="1" s="1"/>
  <c r="H169" i="1"/>
  <c r="G162" i="1"/>
  <c r="H162" i="1" s="1"/>
  <c r="E159" i="1"/>
  <c r="G94" i="1"/>
  <c r="F94" i="1"/>
  <c r="G90" i="1"/>
  <c r="H136" i="1"/>
  <c r="I136" i="1" s="1"/>
  <c r="H113" i="1"/>
  <c r="I113" i="1" s="1"/>
  <c r="H155" i="1"/>
  <c r="I155" i="1" s="1"/>
  <c r="H159" i="1" l="1"/>
  <c r="H94" i="1"/>
  <c r="I94" i="1" s="1"/>
  <c r="G150" i="1" l="1"/>
  <c r="F150" i="1"/>
  <c r="G152" i="1"/>
  <c r="H149" i="1"/>
  <c r="I149" i="1" s="1"/>
  <c r="H148" i="1"/>
  <c r="I148" i="1" s="1"/>
  <c r="H147" i="1"/>
  <c r="I147" i="1" s="1"/>
  <c r="H146" i="1"/>
  <c r="I146" i="1" s="1"/>
  <c r="H145" i="1"/>
  <c r="I145" i="1" s="1"/>
  <c r="H142" i="1"/>
  <c r="I142" i="1" s="1"/>
  <c r="H139" i="1"/>
  <c r="I139" i="1" s="1"/>
  <c r="F135" i="1"/>
  <c r="H134" i="1"/>
  <c r="I134" i="1" s="1"/>
  <c r="H131" i="1"/>
  <c r="I131" i="1" s="1"/>
  <c r="H130" i="1"/>
  <c r="I130" i="1" s="1"/>
  <c r="H129" i="1"/>
  <c r="I129" i="1" s="1"/>
  <c r="G126" i="1"/>
  <c r="H123" i="1"/>
  <c r="I123" i="1" s="1"/>
  <c r="H121" i="1"/>
  <c r="I121" i="1" s="1"/>
  <c r="E120" i="1"/>
  <c r="H117" i="1"/>
  <c r="I117" i="1" s="1"/>
  <c r="H115" i="1"/>
  <c r="I115" i="1" s="1"/>
  <c r="E114" i="1"/>
  <c r="H112" i="1"/>
  <c r="I112" i="1" s="1"/>
  <c r="H110" i="1"/>
  <c r="I110" i="1" s="1"/>
  <c r="H108" i="1"/>
  <c r="I108" i="1" s="1"/>
  <c r="G104" i="1"/>
  <c r="G103" i="1"/>
  <c r="G102" i="1"/>
  <c r="G101" i="1"/>
  <c r="G100" i="1"/>
  <c r="F100" i="1"/>
  <c r="G99" i="1"/>
  <c r="G97" i="1"/>
  <c r="G96" i="1"/>
  <c r="G95" i="1"/>
  <c r="G93" i="1"/>
  <c r="G92" i="1"/>
  <c r="H92" i="1" s="1"/>
  <c r="G154" i="1"/>
  <c r="G91" i="1"/>
  <c r="G89" i="1"/>
  <c r="G88" i="1"/>
  <c r="G87" i="1"/>
  <c r="G86" i="1"/>
  <c r="G85" i="1"/>
  <c r="G84" i="1"/>
  <c r="G83" i="1"/>
  <c r="H82" i="1"/>
  <c r="I82" i="1" s="1"/>
  <c r="H81" i="1"/>
  <c r="I81" i="1" s="1"/>
  <c r="H80" i="1"/>
  <c r="I80" i="1" s="1"/>
  <c r="H79" i="1"/>
  <c r="I79" i="1" s="1"/>
  <c r="H150" i="1" l="1"/>
  <c r="I150" i="1" s="1"/>
  <c r="H135" i="1"/>
  <c r="I135" i="1" s="1"/>
  <c r="H100" i="1"/>
  <c r="I100" i="1" s="1"/>
  <c r="H70" i="1" l="1"/>
  <c r="I70" i="1" s="1"/>
  <c r="F66" i="1"/>
  <c r="E66" i="1"/>
  <c r="G57" i="1"/>
  <c r="G56" i="1"/>
  <c r="H56" i="1" s="1"/>
  <c r="I56" i="1" s="1"/>
  <c r="H31" i="1" l="1"/>
  <c r="I31" i="1" s="1"/>
  <c r="H30" i="1"/>
  <c r="I30" i="1" s="1"/>
  <c r="H28" i="1"/>
  <c r="I28" i="1" s="1"/>
  <c r="E27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G15" i="1"/>
  <c r="H12" i="1"/>
  <c r="I12" i="1" s="1"/>
  <c r="F11" i="1"/>
  <c r="H10" i="1"/>
  <c r="I10" i="1" l="1"/>
  <c r="F32" i="1"/>
  <c r="E14" i="1" l="1"/>
  <c r="H13" i="1"/>
  <c r="I13" i="1" s="1"/>
  <c r="H97" i="1" l="1"/>
  <c r="I97" i="1" s="1"/>
  <c r="F196" i="1" l="1"/>
  <c r="I182" i="1"/>
  <c r="I181" i="1"/>
  <c r="I178" i="1"/>
  <c r="I175" i="1"/>
  <c r="I173" i="1"/>
  <c r="I167" i="1"/>
  <c r="I169" i="1"/>
  <c r="I168" i="1"/>
  <c r="I166" i="1"/>
  <c r="I161" i="1"/>
  <c r="E78" i="1" l="1"/>
  <c r="E126" i="1"/>
  <c r="E118" i="1"/>
  <c r="E111" i="1"/>
  <c r="E107" i="1"/>
  <c r="E77" i="1"/>
  <c r="E75" i="1"/>
  <c r="E73" i="1"/>
  <c r="E72" i="1"/>
  <c r="H143" i="1"/>
  <c r="I143" i="1" s="1"/>
  <c r="E141" i="1"/>
  <c r="E137" i="1"/>
  <c r="E133" i="1"/>
  <c r="E128" i="1"/>
  <c r="E127" i="1"/>
  <c r="H125" i="1"/>
  <c r="I125" i="1" s="1"/>
  <c r="E119" i="1"/>
  <c r="E116" i="1"/>
  <c r="E109" i="1"/>
  <c r="E76" i="1"/>
  <c r="E74" i="1"/>
  <c r="G71" i="1"/>
  <c r="E71" i="1"/>
  <c r="G69" i="1"/>
  <c r="E69" i="1"/>
  <c r="E67" i="1"/>
  <c r="E65" i="1"/>
  <c r="E64" i="1"/>
  <c r="E63" i="1"/>
  <c r="E62" i="1"/>
  <c r="E61" i="1"/>
  <c r="E60" i="1"/>
  <c r="E59" i="1"/>
  <c r="E58" i="1"/>
  <c r="E57" i="1"/>
  <c r="H78" i="1" l="1"/>
  <c r="I78" i="1" s="1"/>
  <c r="H120" i="1"/>
  <c r="I120" i="1" s="1"/>
  <c r="H71" i="1"/>
  <c r="I71" i="1" s="1"/>
  <c r="G11" i="1" l="1"/>
  <c r="G76" i="1" l="1"/>
  <c r="F52" i="1" l="1"/>
  <c r="H68" i="1"/>
  <c r="G52" i="1" l="1"/>
  <c r="I68" i="1"/>
  <c r="I171" i="1"/>
  <c r="I172" i="1"/>
  <c r="I170" i="1"/>
  <c r="E90" i="1" l="1"/>
  <c r="H16" i="1"/>
  <c r="I16" i="1" s="1"/>
  <c r="H17" i="1"/>
  <c r="I17" i="1" s="1"/>
  <c r="H18" i="1"/>
  <c r="I18" i="1" s="1"/>
  <c r="H27" i="1"/>
  <c r="I27" i="1" s="1"/>
  <c r="H15" i="1"/>
  <c r="I15" i="1" s="1"/>
  <c r="H152" i="1"/>
  <c r="I152" i="1" s="1"/>
  <c r="E165" i="1" l="1"/>
  <c r="I162" i="1"/>
  <c r="I159" i="1" l="1"/>
  <c r="H98" i="1" l="1"/>
  <c r="I98" i="1" s="1"/>
  <c r="I195" i="1"/>
  <c r="I164" i="1"/>
  <c r="H103" i="1"/>
  <c r="I103" i="1" s="1"/>
  <c r="H102" i="1"/>
  <c r="I102" i="1" s="1"/>
  <c r="H101" i="1"/>
  <c r="I101" i="1" s="1"/>
  <c r="H95" i="1"/>
  <c r="I95" i="1" s="1"/>
  <c r="H93" i="1"/>
  <c r="I93" i="1" s="1"/>
  <c r="I92" i="1"/>
  <c r="H154" i="1"/>
  <c r="I154" i="1" s="1"/>
  <c r="H91" i="1"/>
  <c r="I91" i="1" s="1"/>
  <c r="H88" i="1"/>
  <c r="I88" i="1" s="1"/>
  <c r="H86" i="1"/>
  <c r="I86" i="1" s="1"/>
  <c r="H83" i="1"/>
  <c r="I83" i="1" s="1"/>
  <c r="H153" i="1"/>
  <c r="I153" i="1" s="1"/>
  <c r="H151" i="1"/>
  <c r="I151" i="1" s="1"/>
  <c r="H128" i="1"/>
  <c r="I128" i="1" s="1"/>
  <c r="H118" i="1"/>
  <c r="I118" i="1" s="1"/>
  <c r="H111" i="1"/>
  <c r="I111" i="1" s="1"/>
  <c r="H107" i="1"/>
  <c r="I107" i="1" s="1"/>
  <c r="H96" i="1"/>
  <c r="I96" i="1" s="1"/>
  <c r="H104" i="1"/>
  <c r="I104" i="1" s="1"/>
  <c r="H77" i="1"/>
  <c r="I77" i="1" s="1"/>
  <c r="H75" i="1"/>
  <c r="I75" i="1" s="1"/>
  <c r="H72" i="1"/>
  <c r="I72" i="1" s="1"/>
  <c r="H73" i="1"/>
  <c r="I73" i="1" s="1"/>
  <c r="H61" i="1"/>
  <c r="I61" i="1" s="1"/>
  <c r="H65" i="1"/>
  <c r="I65" i="1" s="1"/>
  <c r="H64" i="1"/>
  <c r="I64" i="1" s="1"/>
  <c r="H63" i="1"/>
  <c r="I63" i="1" s="1"/>
  <c r="H60" i="1"/>
  <c r="I60" i="1" s="1"/>
  <c r="H59" i="1"/>
  <c r="I59" i="1" s="1"/>
  <c r="H58" i="1"/>
  <c r="I58" i="1" s="1"/>
  <c r="H62" i="1"/>
  <c r="I62" i="1" s="1"/>
  <c r="H74" i="1"/>
  <c r="I74" i="1" s="1"/>
  <c r="H140" i="1"/>
  <c r="I140" i="1" s="1"/>
  <c r="H133" i="1"/>
  <c r="I133" i="1" s="1"/>
  <c r="H132" i="1"/>
  <c r="I132" i="1" s="1"/>
  <c r="H137" i="1"/>
  <c r="I137" i="1" s="1"/>
  <c r="H144" i="1"/>
  <c r="I144" i="1" s="1"/>
  <c r="H141" i="1"/>
  <c r="H122" i="1"/>
  <c r="I122" i="1" s="1"/>
  <c r="H119" i="1"/>
  <c r="I119" i="1" s="1"/>
  <c r="H114" i="1"/>
  <c r="I114" i="1" s="1"/>
  <c r="H109" i="1"/>
  <c r="I109" i="1" s="1"/>
  <c r="H106" i="1"/>
  <c r="I106" i="1" s="1"/>
  <c r="H105" i="1"/>
  <c r="I105" i="1" s="1"/>
  <c r="H55" i="1"/>
  <c r="I55" i="1" s="1"/>
  <c r="H54" i="1"/>
  <c r="H14" i="1"/>
  <c r="I14" i="1" s="1"/>
  <c r="I163" i="1" l="1"/>
  <c r="I141" i="1"/>
  <c r="I54" i="1"/>
  <c r="H89" i="1" l="1"/>
  <c r="I89" i="1" s="1"/>
  <c r="H126" i="1"/>
  <c r="I126" i="1" s="1"/>
  <c r="H76" i="1"/>
  <c r="I76" i="1" s="1"/>
  <c r="H99" i="1"/>
  <c r="I99" i="1" s="1"/>
  <c r="H87" i="1"/>
  <c r="I87" i="1" s="1"/>
  <c r="H85" i="1"/>
  <c r="I85" i="1" s="1"/>
  <c r="H84" i="1"/>
  <c r="I84" i="1" s="1"/>
  <c r="H90" i="1"/>
  <c r="I90" i="1" s="1"/>
  <c r="H57" i="1"/>
  <c r="I57" i="1" l="1"/>
  <c r="H127" i="1"/>
  <c r="I127" i="1" s="1"/>
  <c r="H116" i="1"/>
  <c r="I116" i="1" s="1"/>
  <c r="F156" i="1"/>
  <c r="F1120" i="1" s="1"/>
  <c r="H67" i="1"/>
  <c r="I67" i="1" s="1"/>
  <c r="H66" i="1"/>
  <c r="I66" i="1" s="1"/>
  <c r="G32" i="1"/>
  <c r="E29" i="1"/>
  <c r="H69" i="1" l="1"/>
  <c r="H156" i="1" s="1"/>
  <c r="H29" i="1"/>
  <c r="I29" i="1" s="1"/>
  <c r="I156" i="1" l="1"/>
  <c r="I69" i="1"/>
  <c r="E190" i="1"/>
  <c r="G165" i="1"/>
  <c r="H165" i="1" l="1"/>
  <c r="H190" i="1"/>
  <c r="I190" i="1" s="1"/>
  <c r="E196" i="1"/>
  <c r="E11" i="1"/>
  <c r="E32" i="1" s="1"/>
  <c r="I165" i="1" l="1"/>
  <c r="H11" i="1"/>
  <c r="H32" i="1" s="1"/>
  <c r="I11" i="1" l="1"/>
  <c r="I32" i="1" s="1"/>
  <c r="H196" i="1" l="1"/>
  <c r="G196" i="1"/>
  <c r="E52" i="1"/>
  <c r="G156" i="1"/>
  <c r="G1120" i="1" l="1"/>
  <c r="E1120" i="1"/>
  <c r="H52" i="1"/>
  <c r="H1120" i="1" s="1"/>
  <c r="E156" i="1"/>
  <c r="I52" i="1" l="1"/>
  <c r="I196" i="1"/>
  <c r="I1120" i="1" l="1"/>
</calcChain>
</file>

<file path=xl/comments1.xml><?xml version="1.0" encoding="utf-8"?>
<comments xmlns="http://schemas.openxmlformats.org/spreadsheetml/2006/main">
  <authors>
    <author/>
  </authors>
  <commentList>
    <comment ref="C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строительство не ведется!</t>
        </r>
      </text>
    </comment>
    <comment ref="G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аренда земли</t>
        </r>
      </text>
    </comment>
  </commentList>
</comments>
</file>

<file path=xl/sharedStrings.xml><?xml version="1.0" encoding="utf-8"?>
<sst xmlns="http://schemas.openxmlformats.org/spreadsheetml/2006/main" count="1161" uniqueCount="1152">
  <si>
    <t>Г-ввод ул.Луговая,1В, п.Койсуг к ГСНД совх."Луч" п.Койсуг,Азовский р-н, аренда</t>
  </si>
  <si>
    <t>Г-ввод ул.М.Горького,665-3,п.Койсуг к РГСНД к центр.усадьбе п.Койсуг,Азовский р-н,аренда</t>
  </si>
  <si>
    <t>Г-ввод ул.Александровская,185,г.Новочеркасск к г-ду ул.Александровская,г.Новочеркасск,аренда</t>
  </si>
  <si>
    <t>Г-ввод ул.Добролюбова,90,г.Новочеркасск от г-да по ул.Добролюбова, Новочеркасск, аренда</t>
  </si>
  <si>
    <t>Г-ввод ул.Октябрьская,78, г.Новочеркасск к г-ду ул.Октябрьская,г.Новочеркасск, аренда</t>
  </si>
  <si>
    <t>ГВД п.Новопривольный-Привольный Ремонтненского р РО</t>
  </si>
  <si>
    <t>МГ х.Табунщиков Красносулинского р РО</t>
  </si>
  <si>
    <t>МГВД от ст.Буденновская к х.Сухой Пролетарского р РО</t>
  </si>
  <si>
    <t>РГ п.Новопривольный Ремонтненского р РО</t>
  </si>
  <si>
    <t>РГ п.Привольный Ремонтненского р РО</t>
  </si>
  <si>
    <t>РГ х.Гуково Красносулинского р РО</t>
  </si>
  <si>
    <t>МГВД от х.Конезавод до х. Юловский, Сальский район</t>
  </si>
  <si>
    <t>РГ с.Подгорное,Ремонтненский район</t>
  </si>
  <si>
    <t>РГ х.Киевка, Ремонтненский р-н</t>
  </si>
  <si>
    <t>% готовности объекта</t>
  </si>
  <si>
    <t>Дата окончания
 строительства</t>
  </si>
  <si>
    <t>Здание админ-быт ПБ ул.5-линия, 14, с.Чалтырь, Мясниковского района (1 этап)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</si>
  <si>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</si>
  <si>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</si>
  <si>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</si>
  <si>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</si>
  <si>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</si>
  <si>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</si>
  <si>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</si>
  <si>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>Амортизация</t>
  </si>
  <si>
    <t>Здание АДС (рек) (Литер А) ул.Кабардино-Балкарская, 76а, сл.Большая Мартыновка, Мартыновский район</t>
  </si>
  <si>
    <t>Здание гаража на 7 боксов (Литер Б),ул.Кабардино-Балкарская,76а, сл.Б.Мартыновка, Мартыновский район</t>
  </si>
  <si>
    <t>АСДУ газовой системы, пр.Кировский, д. 40а, г.Ростов-на-Дону</t>
  </si>
  <si>
    <t xml:space="preserve">СМР
</t>
  </si>
  <si>
    <t xml:space="preserve">Проектные
</t>
  </si>
  <si>
    <t>Филиалы</t>
  </si>
  <si>
    <t>Админ.здание, ул.Гагарина, 27А, г.Аксай</t>
  </si>
  <si>
    <t xml:space="preserve">Коммерческий кредит </t>
  </si>
  <si>
    <t xml:space="preserve">ГВД п.Ремонтное до х.Киевка, Ремонтненский район </t>
  </si>
  <si>
    <t>ГСД (зак) от ГРС-1 до ГРС-2 г.Шахты</t>
  </si>
  <si>
    <t>ГСД (зак) от п.Смагин до п.Наклонная,г.Шахты</t>
  </si>
  <si>
    <t xml:space="preserve">Спецнадбавка </t>
  </si>
  <si>
    <t>Плата за техническое присоединение</t>
  </si>
  <si>
    <t>База отдыха п.Конезавод им.Буденного,Сальского района</t>
  </si>
  <si>
    <t>АУП</t>
  </si>
  <si>
    <t>Г-ввод ул.М.Горького,14А к г-ду ул.Пушк,М.Горького,Октябрьско,Кирова,с.Кагальник,Азовский р-н,аренда</t>
  </si>
  <si>
    <t>Здание автогаража ул.Ворошилова, 217, г. Морозовск, инв. 21-1000</t>
  </si>
  <si>
    <t>ГВД 1 категории к х.Пушкин, Красносулинский р-н (1этап)</t>
  </si>
  <si>
    <t>Г-вводы для подключ.тепличного комбината "Донской"расп.на терр-и бывш.совх.Кривянский,Октябрьский р-</t>
  </si>
  <si>
    <t>ГВД от ГРС-2 до ГРС-1 г.Новочеркасска</t>
  </si>
  <si>
    <t>ТП Г-ввод СД к придорожному севрису ст.Егорлыкская, Егорлыкский р-н</t>
  </si>
  <si>
    <t>Г-ввод 20 пер., д.50, г.Таганрог к ГНД 19 пер., г.Таганрог, аренда</t>
  </si>
  <si>
    <t>Г-ввод для подключ. торг.компл.по адресу:г.Семикаракорск,в 62м,по направ.на север от пр.Куликова,2</t>
  </si>
  <si>
    <t>Г-ввод Объездной проезд,7А,г.Азов к ГНД по ул.Железнод. от ул.Тимирязева до заглушки в гАзове,аренда</t>
  </si>
  <si>
    <t>Г-ввод ул.Береговая,49,с.Кулешовка к ГНД по ул.Береговой в с.Кулешовка,Азовский р-н,аренда</t>
  </si>
  <si>
    <t>Г-ввод ул.Горького,63,кв.3,с.Кагальник к ГНД по ул.Новой от ул.Тельмана до жд№61,Азовский р-н,аренда</t>
  </si>
  <si>
    <t>Г-ввод ул.Ленина,38Г,с.Пешково к ГНД по ул.Октябрьской до жил.дома №32,с.Пешково,Азовский р-н,аренда</t>
  </si>
  <si>
    <t>Г-ввод ул.Советская,56,с.Кагальник к ГСНД по Советской от К.Маркса,с.Кагальник,Азрвский р-н,аренда</t>
  </si>
  <si>
    <t>Г-ввод ул.Украинская,116Б,г.Азов к ГНД по ул.Украинской от ж/д№99 до пер.Черноморского,г.Азов,аренда</t>
  </si>
  <si>
    <t>Г-ввод ул.Украинская,116В,г.Азов к ГНД по ул.Украинской от ж/д№99 до пер.Черноморского,г.Азов,аренда</t>
  </si>
  <si>
    <t>Г-ввод ул.Менжинского,2-к,г.Шахты к ГНД к ж.д.по ул.Менжинского,г.Шахты,аренда</t>
  </si>
  <si>
    <t>Г-ввод ул.Береговая,76А(лит.Б),х.Колузаево кРГНД по ул.Ленина от задв.после ГРПШ-1,Азовский р,аренда</t>
  </si>
  <si>
    <t>Г-ввод ул.Береговая,84,х.Колузаево к РГНД по ул.Ленина от задв.после ГРПШ-1, Азовский р-н,аренда</t>
  </si>
  <si>
    <t>Г-ввод ул.К.Маркса,101А,с.Самарское к ГРНД по ул.К.Маркса к мол.заводу,с.Самарское,Азовский р,аренда</t>
  </si>
  <si>
    <t>Г-ввод ул.Ленина,87А,г.Азов к РГНД по ул.Ленина от ул.Чехова до ул.Осипенко,г.Азов,аренда</t>
  </si>
  <si>
    <t>Г-ввод ул.М.Горького,671-Б/3,п.Койсуг к РГСНД к центр.усадьбе п.Койсуг, Азовский р-н,аренда</t>
  </si>
  <si>
    <t>Г-ввод ул.Солнечная,4,п.Овощной к РГСД п.Койсуг, газ-д ГРС, Азовский район,аренда</t>
  </si>
  <si>
    <t>Г-ввод ул.Строителей,25А,п.Тимирязевский к РГНД от врез.до загл.ж.д.19 по ул.Новой,Азовский р,аренда</t>
  </si>
  <si>
    <t>Г-ввод ул.Буденовская,279-б к ГВД 2кат.по ул.Буденовская,279-б,г.Новочеркасск,аренда</t>
  </si>
  <si>
    <t>Г-ввод ул.Ефремова,45,г.Новочерскасск от г-да по ул.Ефремова,г.Новочеркасск,аренда</t>
  </si>
  <si>
    <t>Г-ввод ул.Степная,78,г.Новочеркасск к ГНД по ул.Степная,г.Новочеркасск, аренда</t>
  </si>
  <si>
    <t>Склад по адресу: ул.Дружбы,д.18, г.Азов</t>
  </si>
  <si>
    <t>Г-ввод для подкл.объекта: 300 индив.стр,разм.на зем.уч.в ПК "Успех",х.Новоалександровка,Азовский р-н</t>
  </si>
  <si>
    <t>МГ к х.Новомоисеевский Пролетарского района РО</t>
  </si>
  <si>
    <t>РГ  по ул.Луговая, Цветочная в х Усть-Койсуг, Азовский район</t>
  </si>
  <si>
    <t>РГ п.Супрун, Сальский р-н</t>
  </si>
  <si>
    <t>ГВД для газоснабжения индивидуальной жилой застройки в районе п. Несветай Мясниковского района</t>
  </si>
  <si>
    <t>ГВД от ГРС г. Азова с переподкл.п.Новоалександровка,с.Кулеш,х.Высоч, Азовского р,зак.г/п,протяж.3,0к</t>
  </si>
  <si>
    <t>ГНД  на 14 км главной линии 109,111,113,119 (пер.1-й Локомотивный,6,8,13,15) г. Батайск,инв.3-030317</t>
  </si>
  <si>
    <t>ГСД от ул. Ленина.23 до  ввода в ГРПШ по ул.Ленина,18,ст.Боковская,Боковский район,инв.000014286</t>
  </si>
  <si>
    <t>МГ в х.Киров, Аксайский район</t>
  </si>
  <si>
    <t>МГ от х. Костино-Быстрянский к х. Новопроциков Морозовского района</t>
  </si>
  <si>
    <t>МГВД  х.Ст-Петровский, х.Парамонов, Морозовский район. инв.№ 21-01072</t>
  </si>
  <si>
    <t>МГВД от х. Костино-Быстрянский к х. Русско-Власовский Морозовского района</t>
  </si>
  <si>
    <t>Оборудование ШРП № 55с РДНК У 50/200 по ул.Речная г.Батайск, инв.3-040342</t>
  </si>
  <si>
    <t>ПНГНД от № 37 по ул. Ленина, ст. Боковская, Боковский район,2 этап,инв.08-00790</t>
  </si>
  <si>
    <t>РГ в х.Киров, Аксайский район</t>
  </si>
  <si>
    <t>РГ в х.Юловский Сальского района Ростовской области</t>
  </si>
  <si>
    <t xml:space="preserve">РГ по ул. Московская, Грибоедова, Заводская, Тургенева, Пролетарская мкр Колодезное п. Тарасовский </t>
  </si>
  <si>
    <t>РГ с.Федосеевка, Заветинского района (2 этап)</t>
  </si>
  <si>
    <t>РГ х.Маныч Орловского района</t>
  </si>
  <si>
    <t>Рек. ГНД по ул. Калинина в сл. Родионово-Несветайская, инв. № 23-00054</t>
  </si>
  <si>
    <t>Рек.Г- д  ст. Боковская ул. Ленина от ГРП до пер. Чкалова (105),1 этап,инв.08-00780</t>
  </si>
  <si>
    <t>Рек.Газопровод по ул. Металлургов от ул.Коминтерна до ул.Миллицейская г.Красный Сулин, инв.9-13208</t>
  </si>
  <si>
    <t>Рек.Газопровод по ул.Галатова от ул.Свободы до ул.Матросова г. Красный Сулин, инв. № 9-13280</t>
  </si>
  <si>
    <t>Рек.Газопровод по ул.Глинки от пер.Братский до ул.Павлова г. Красный Сулин, инв. № 9-13220</t>
  </si>
  <si>
    <t>Рек.Газопровод по ул.Карбышева от ул.Свободы до ул.Матросова г.Красный Сулин, инв.№ 9-13281</t>
  </si>
  <si>
    <t>Рек.Газопровод по ул.Первомайская от ул.Ворошилова до ул Коминтерна г.Красный Сулин, инв.9-13223</t>
  </si>
  <si>
    <t>Рек.Газопровод по ул.Тельмана от ул.Горького до ул.Щаденко г.Красный Сулин, инв.9-13214</t>
  </si>
  <si>
    <t>Рек.Газопровод по ул.Щаденко от ул.Тельмана до реки Гнилуша г.Красный Сулин, инв. № 9-13276</t>
  </si>
  <si>
    <t>Рек.Газопровода по ул.Матросова от ул.Ростовская до ул.Гагарина г.Красный Сулин, инв. № 9-13278</t>
  </si>
  <si>
    <t>Рек.ГНД по ул. Советская в сл. Родионово-Несветайская, инв. № 23-00026</t>
  </si>
  <si>
    <t>Рек.ГНД по ул.Ворошилова - ул.Садовая в сл.Родионово-Несветайская, инв.23-00059</t>
  </si>
  <si>
    <t>Рек.ГНД по улице Набережная, г. Белая Калитва, инв. № 4-030056</t>
  </si>
  <si>
    <t>Рек.ГНД ул.Большевистская, сл.Родионово-Несветайская, инв. № 000014247</t>
  </si>
  <si>
    <t>Рек.ГНД ул.Космонавтов от ул.Ростовская до ул.Октябрьская г.Красный Сулин,инв.9-13277</t>
  </si>
  <si>
    <t>Рек.ГНД ул.Октябрьская от ул.Свободы до пер.Цимлянский г.Красный Сулин,инв.9-13283</t>
  </si>
  <si>
    <t>Рек.ГРП №7 х.Ленина КСП Родина,инв.№01-00450 (газ.оборуд.), 01-00477(здание), Аксайский район</t>
  </si>
  <si>
    <t>Рек.ГРПШ №45 г.Батайск, ул.Ставропольская,123, инв.№ 3-040335</t>
  </si>
  <si>
    <t>Рек.ГРПШ г. Гуково, ул. Л.Чайкиной, инв.№ 9-001493</t>
  </si>
  <si>
    <t>Рек.ГСД по ул.Новоселовская до АБЗ г.Красный Сулин, инв. № 9-13219</t>
  </si>
  <si>
    <t>Рек.ГСНД по ул.Центральная в х.Волошино Родионово-Несветайского района, инв. № 23-00154</t>
  </si>
  <si>
    <t>Рек.МГВД х.Великанов ст.Чертковская(к колхозу"Атоммашевец"),Морозовский р-н,инв.21-01074</t>
  </si>
  <si>
    <t>Рек.ПГВД по ул.Песчаная,35 х.Дуленков до ГРП по ул.Ленина,37 ст.Боковская,Боковский р-н,инв.00014279</t>
  </si>
  <si>
    <t>Рек.РГ от ШРП № 3, 55 в пос.шахты Антрацит г.Гуково Ростовская область,общая протяженность 8,0 км: П</t>
  </si>
  <si>
    <t>ТП ГРПШ на ГВД (ГРС-ШРП), х.Новотроицкий, Родионово-Несветайский район</t>
  </si>
  <si>
    <t>ТП ШРП ст.Егорлыкская, ул.Ленина-Вишневая от ул.Патоличева до Птицекомбин,Егорлыкский р,инв.15-03012</t>
  </si>
  <si>
    <t>Уст.ГРП № 1 г. Белая Калитва, ул. Калинина,  инв. № 4-010012</t>
  </si>
  <si>
    <t>Уст.ГРП № 18/1 г.Батайск, ул.Булгакова, инв.3-010023</t>
  </si>
  <si>
    <t>Уст.ГРП № 2 г.Белая Калитва, ул.Вокзальная,  инв.4-010014</t>
  </si>
  <si>
    <t>Уст.ГРП № 3 г. Белая Калитва ул.Геологическая, инв. № 4-010013</t>
  </si>
  <si>
    <t>Уст.ГРП № 4 г. Белая Калитва, ул. 1я Линия,  инв. № 4-010021</t>
  </si>
  <si>
    <t>Уст.ГРП № 4 г. Сальск, ул. Халтурина, инв. № 31-04033</t>
  </si>
  <si>
    <t>Уст.ГРП № 5 г. Белая Калитва ул.Заводская, инв. № 4-010015</t>
  </si>
  <si>
    <t>Уст.ГРП № 5 г. Сальск, ул. Верхняя, инв. № 31-04064</t>
  </si>
  <si>
    <t>Уст.ГРП №16 г.Аксай, ул.Шевченко, 32а,инв.№ 01-00442 (газ.оборуд.), 01-00468 (здание), Аксайский р-н</t>
  </si>
  <si>
    <t>Уст.ГРП №17 г. Аксай, ул. Толстого 13а, инв. № 01-00443 (газовое оборудование), 01-00469 (здание)</t>
  </si>
  <si>
    <t>Уст.ГРП №5 г. Батайск, ул. Куйбышева гор. Парк им. Ленина,  инв. № 3-010001</t>
  </si>
  <si>
    <t>Уст.ГРП №6 г.Батайск, ул.Ленина - ул.Матросова, инв.№ 3-040412</t>
  </si>
  <si>
    <t>Уст.ГРПШ № 46 г. Батайск, ул.Севастопольская,50,  инв. № 3-040358</t>
  </si>
  <si>
    <t>Уст.ГРПШ №31 г.Батайск, ул.Ленина - ул. Красноармейская, инв. № 000001687</t>
  </si>
  <si>
    <t>Уст.ГРПШ №43 г. Батайск, ул. Эстонская, 24, инв. № 3-040329</t>
  </si>
  <si>
    <t>Уст.ГРПШ на ГСД сл.Родионово-Несветайская, ул.Гвардейцев-Танкистов(дом №7), инв.№ 23-00078</t>
  </si>
  <si>
    <t>Установка ГРПШ р.п.Усть-Донецкий, ул.Промышленная 15-а, инв.32-31044</t>
  </si>
  <si>
    <t>Г-ввод для подкл.объекта:Жилые дома по северной границе п."Приазовье",с.Новоалександ, Азовского р-на</t>
  </si>
  <si>
    <t>ГПНД ул.Ленина,Шолохова,Северная,Чехова,х.Шаумяновский, Егорлыкский р-н,инв.15-03140</t>
  </si>
  <si>
    <t>Производственное здание д.26, ул. Мира, г. Зерноград литер А,инв 15-10039</t>
  </si>
  <si>
    <t xml:space="preserve">Г-ввод для подкл.объекта кап.строительства по адресу: Г.Донецк,пр-кт Ленина,35Г </t>
  </si>
  <si>
    <t>Г-ввод к объекту:"Ростовский логистич.центр", Аксайский р,КСП им.Ленина, терр-я аэропор.компл"Южный"</t>
  </si>
  <si>
    <t>Г-ввод пр.Баклановский,68,кв.5,лит.В,г.Новочеркасск от РГНД по пр.Баклановский,68,аренда</t>
  </si>
  <si>
    <t>ГНД  ул.Колхозная, х.Павленков, Родионово-Несветайский район,инв.23-00116 (ТП ГРПШ)</t>
  </si>
  <si>
    <t>Уст.ГРПШ на ГСД сл.Родионово-Несветайская, ул.Гвардейцев-Танкистов(дом №3), инв.№ 23-00079</t>
  </si>
  <si>
    <t>ПГНД Вильямса Новый микрорайон ст.Кировская, Кагальницкий р-н, инв.15-51728</t>
  </si>
  <si>
    <t>Г-ввод к объекту ДНТ "Россельмашевец-2"</t>
  </si>
  <si>
    <t>Г-ввод к объекту: ООО "Комплекс Модуль Юг" АРНКС,Азов</t>
  </si>
  <si>
    <t>Г-ввод к объекту:Жилая застр. по адресу:в 0.3 км от п.Российский.Большелогмкогос/п,Аксайский район</t>
  </si>
  <si>
    <t>ГВД от ГРС  Гуково до сущ. сетей газораспределения</t>
  </si>
  <si>
    <t>ГСД по пер.Гайдаренко и ул.Петровского в пос.Чертково Ростовской области</t>
  </si>
  <si>
    <t>Ограждение территории филиала ул.Ростовская,132, г.Новошахтинск, инв.24-10028</t>
  </si>
  <si>
    <t>ПГ х.Октябрьский, Родионово-Несветайский район</t>
  </si>
  <si>
    <t>РГ х.Октябрьский, Родионово-Несветайский район</t>
  </si>
  <si>
    <t>Г-ввод для подкл. объекта:"СКПТ" ООО"БАТИ АЗОВ""</t>
  </si>
  <si>
    <t>Г-ввод для подключеня:"ПЦ ОА "Реконструктор", Аксайский район</t>
  </si>
  <si>
    <t>Г-ввод к для поключения объекта: "Нежилые здания д.43, ул. Западная, г. Аксай</t>
  </si>
  <si>
    <t>Г-ввод к жилому комплексу пер.Парковый,4, г.Таганрог</t>
  </si>
  <si>
    <t>Г-ввод многокв.жилые дома, ул.Адмирала Крюйса,19, г.Таганрог</t>
  </si>
  <si>
    <t>Г-ввод НСТ Юность,г.Белая Калитва</t>
  </si>
  <si>
    <t>Г-ввод РГВНД с ГРПШ для г-и ж.д.квартала №4 ст "Виноград",ст. Грушевская, Аксайский район</t>
  </si>
  <si>
    <t>Г-ввод сервис, юго-западная ч.уч-ка,Чертковский р-н</t>
  </si>
  <si>
    <t>Г-ввод ул.1-я Луговая,4/2, произ.площадка ООО "Бик", г.Ростов-на-Дону</t>
  </si>
  <si>
    <t>ПГСД ул.Октябрьская,ул.Пришкольная,ул.Садовая,ул.Степная, с.Бараники, Сальский район,инв.31-03220</t>
  </si>
  <si>
    <t>Г-ввод пер.Грушевый,19,ст.Егорлыкская к ГНД ст.Егорлыкская,п.Мичуринский,восточная часть,аренда</t>
  </si>
  <si>
    <t>ГВНД с ГРПШ п.Северный, ст.Егорлыкская, Егорлыкский р, инв 15-70372</t>
  </si>
  <si>
    <t>ГНД пер.Пугачевскому, ст. Кагальницкая, Кагальницкий р-н, инв.000014075</t>
  </si>
  <si>
    <t>ГНД ул.2-я линия от ул.Транспортной до ул.Молодежной., п.Целина инв 15-51916</t>
  </si>
  <si>
    <t>ГНД ул.Войкова от ул. Октябрьской до пер.Семашко ст.Егорлыкской, Егорлыкский район. инв 000014123</t>
  </si>
  <si>
    <t>ГПНД от № 2 по № 32 по ул. Мира, ст. Кировская, Кагальницкий район , инв 15-51732</t>
  </si>
  <si>
    <t>ГПНД от № 34 по ул. Бирюкова, п. Березовая роща, ст. Кировская,Кагальницкий район. инв 15-51745</t>
  </si>
  <si>
    <t>ГПНД пер.Базарный,ст.Кагальницкая, Кагальницкий р-н,инв.15-48026</t>
  </si>
  <si>
    <t>ГПНД ул.Лелюшенко,г.Зерноград,инв.15-50777</t>
  </si>
  <si>
    <t>ГПНД ул.Молодежная, Гагарина, Заречная, с. Плодородное, Целинский р-н, инв.15-70244</t>
  </si>
  <si>
    <t>ГПНД ул.Садовая, ЗАО "Ростовский", Кагальницкий р-н, инв.15-51737</t>
  </si>
  <si>
    <t>ГПСД от угла стр № 50 ул. Строителей, г. Зерноград,инв.15-50774</t>
  </si>
  <si>
    <t>ГПСД ул.Красноармейская.ст. Кагальницкая, Кагальницкий район,инв 15-45763</t>
  </si>
  <si>
    <t>ГПСД ул.Школьная, ОПХ Манычское, Зерноградский район, инв.15-50448</t>
  </si>
  <si>
    <t>ГСНД пер.Дружный, ст. Кагальницкая, Кагальницкий р-н.инв 000016165</t>
  </si>
  <si>
    <t>ГСНД ул.Зеленая,Луговая,ст.Егорлыкская,Егорлыкский р-н.инв 00-001750</t>
  </si>
  <si>
    <t>Г-ввод 5-й Линейный проезд,167,г.Таганрог к ГАЗ/П-26НД12940,18Р.ЛЮКСЕМБУРГ, аренда</t>
  </si>
  <si>
    <t>Г-ввод ДНТ Неклиновский Энергетик,249 к ВНГ с.Николаев.,Гаевка,АГРС,Неклиновский р-н,аренда</t>
  </si>
  <si>
    <t>Г-ввод ДНТЭнтузиаст-2,48с.Николаевка ВНГ с.Николаевка.ГаевкаАГРС Троицкое,Неклиновский р,аренда</t>
  </si>
  <si>
    <t>Г-ввод Неклиновский Энергетик,261,с.Николаевка ВНГ с.Никол.с.Гаевка,АГРС Троиц,Неклиновский р,аренда</t>
  </si>
  <si>
    <t>Г-ввод пер.16 Артеллерийский,61, г.Таганрог к ГНД 20057,37 м.Гончарная,г.Таганрог,аренда</t>
  </si>
  <si>
    <t>Г-ввод пер.Северный,2,сСамбек к ПГ с.Самбек,ул.ЦентральнаяМорскПодгорнБерег, аренда</t>
  </si>
  <si>
    <t>Г-ввод Сад Ромашка-2,21, с.Николаевка,ВНГс.Николаев,с.Гаевка от АГРС Троицк,Неклиновиновский р,аренда</t>
  </si>
  <si>
    <t>Г-ввод СНТ Металлург-2,167с.БессергеновкаВНГул.Мирн1 от ШГРП-3 до Социал,с.Бесс,Неклиновс р-н,аренда</t>
  </si>
  <si>
    <t>Г-ввод ул.7-й Переулок,27,г.Таганрог, ГАЗ/П-26НД12940, Р.Люксембург, аренда</t>
  </si>
  <si>
    <t>Г-ввод ул.Адмир.Крюйса,2-15,г.Таганрог к ГАЗСДП272,5м. ул.Адм. Крюйса2-а,аренда</t>
  </si>
  <si>
    <t>Г-ввод ул.Б.Бульварная,13-21,13-22,г.Таганрог к ПГСД-19,2426,7м.ул.Б.Бульварная,г.Таганрог,аренда</t>
  </si>
  <si>
    <t>Г-ввод ул.Дачная,203, г.Таганрог к ГАЗНд 811м Дач.новый. г. Таганрог, аренда</t>
  </si>
  <si>
    <t>Г-ввод ул.И.Голубца,13,г.Таганрог к ГАЗ НД 600м ТРП7АРТ ДЗЕРЖг.Таганрог,аренда</t>
  </si>
  <si>
    <t>Г-ввод ул.Кольцовская,81,г.Таганрог к ГАЗ/П-53 16760,30м Гоголевский,г.Таганрог, аренда</t>
  </si>
  <si>
    <t>Г-ввод ул.Космонавтов,12 к ВНГ ул.Космонав,Гагар,Островск,с.Новобессергеневка,Неклиновский р,аренда</t>
  </si>
  <si>
    <t>Г-ввод ул.Котлостроительная,35,г.Таганрог к ПГСД 146,3 м.ул.Котлостроительная,37,в,г.Таганрог,аренда</t>
  </si>
  <si>
    <t>Г-ввод ул.Крупской,65а,с.Синявское к ВНГ Буденновский Спуск,Ленина,с.Синявс,Неклиновский р,аренда</t>
  </si>
  <si>
    <t>Г-ввод ул.Менделеева,123,г.Таганрог к ГСД 319,66 м 1 микрорайон русское поле, г.Таганрог, аренда</t>
  </si>
  <si>
    <t>Г-ввод ул.Металлургич,112/74,г.Таганрог, к ГАЗ/П-11 НД21198М,А.ГЛУШКО, аренда</t>
  </si>
  <si>
    <t>Г-ввод ул.Москатова,6 г.Таганрог к ПГСД 10153,8м. Жуковского, Энгельса,аренда</t>
  </si>
  <si>
    <t>Г-ввод ул.Нестерова,5/Ореховая,1а,г.Таганрог к ГВД 494м, ул.Ореховая,20,ул.Нестер,г.Таганрог,аренда</t>
  </si>
  <si>
    <t>Г-ввод ул.Новостройки,15а к ВМГ ул.Энгельса,Новостр,Стах,с.Петрушино,Неклиновский р-н,аренда</t>
  </si>
  <si>
    <t>Г-ввод ул.Октябрьская,1в,х.Красный десант ПГ ГРС р/к Первомайский,х.Кр.Десан,Неклиновский р,аренда</t>
  </si>
  <si>
    <t>Г-ввод ул.Строителей,1б,с. Троицкое, к ВНГ с. Троиц,сКошкино от АГРС с.Троиц.Неклин, аренда</t>
  </si>
  <si>
    <t>Г-ввод ул.Чехова,241,с.Натальевка к ГРП с.Натальевка.,ул.Чехова 1-183,Неклиновский р-н, аренда</t>
  </si>
  <si>
    <t>Г-ввод ул.Чехова,353-а,г.Таганрог к ГНД-700м,ул.Чехова,г.Таганрог,аренда</t>
  </si>
  <si>
    <t>ГНД у.Нижняя,Верхняя,Восточная,с. Камышевка, Матвеево-Курганский район,инв.000013229</t>
  </si>
  <si>
    <t>ГВНД.ул.Полевая-Гв-Танкистов,х.Новотроицкий, Родионово-Несветайского р-на, инв.23-00080</t>
  </si>
  <si>
    <t>ГСД и ГНД ул.Гв.-Танкистов (ГРПБ),сл.Родионово-Несветайская,Родионов-Несветайского р-на,инв.23-00066</t>
  </si>
  <si>
    <t>ГВД сл.Родионово-Несветайская - с.Кутейниково, Родионово-Несветайский район,инв.23-00082</t>
  </si>
  <si>
    <t>ПАО "Газпром газораспределение Ростов-на-Дону" в г.  Азове</t>
  </si>
  <si>
    <t>Г-ввод пер.Молодежный,20А к РГНД ул.Строителей,пер.Кооп.с.Самарское,Азовский р-н,аренда</t>
  </si>
  <si>
    <t>Г-ввод ул.Береговая,1Б,х.Курган к РГСД  ст "Энтузиаст"в х.Курган,Азовский р-н,аренда</t>
  </si>
  <si>
    <t>Г-ввод ул.Бережная,33А,с.Новотроицкое к РГНД по ул.Ленина до Кирова,Бережной,Азовский р-н,аренда</t>
  </si>
  <si>
    <t>Г-ввод ул.Веселая,1А,с.Самарское к РГНД по ул.Веселой,ул.Степной,с.Самарское,Азовский р-н,аренда</t>
  </si>
  <si>
    <t>Г-ввод ул.Горожанова,91А,с.Новобатайск к РГНД по ул.Горож.от мес.вр.пер.Кировс,Азовский р-н,аренда</t>
  </si>
  <si>
    <t>Г-ввод ул.Дзержинского,52, к РГНД ул.Дзержинского пер.Коллонтаевс,пл.!!! Интерн.г.Азов,аренда</t>
  </si>
  <si>
    <t>Г-ввод ул.Дружбы,13,г.Азов к РГСД по ул.Дружбы к котельной РСМ в г.Азове,аренда</t>
  </si>
  <si>
    <t>Г-ввод ул.Ленина,98А,с. Кагальник к ГНД ул.Крупской,от ул.Свободы,с.Кагальник, Азовский р,аренда</t>
  </si>
  <si>
    <t>Г-ввод ул.М.Горького,69,г.Азов к РГНД по ул. М.Горького от ул.Кунникова в г.Азове ,аренда</t>
  </si>
  <si>
    <t>Г-ввод ул.Молодежная,77,с.Новотроицкое к РГНД по ул.Кирова с.Новотроиц,Азовский р-н,аренда</t>
  </si>
  <si>
    <t>Г-ввод ул.Октябрьская,104А,с.Новобатайск к РГНД ул.Октябр,пер.Калин.с.Новобатайск,Азовский р-,аренда</t>
  </si>
  <si>
    <t>Г-ввод ул.Пролетарская,3А.Кулешовка ГСД АКДП ул.Гагарина,с.Кулешовка,Азовский р-,аренда</t>
  </si>
  <si>
    <t>Г-ввод ул.Пушкина,79,г.Азов,к РГНД по ул.Пушкина от ул.Кошевого доввода в котел.ЗТО,г.Азов,аренда</t>
  </si>
  <si>
    <t>Г-ввод ул.Светлая,1,п.Овощной к РГСД в п.Койсуг,г-д ГРС,Азовский р-н,аренда</t>
  </si>
  <si>
    <t>Г-ввод ул.Светлая,11,п.Овощной к РГСД п.Койсуг, газопровод ГРС Азовский р-н, аренда</t>
  </si>
  <si>
    <t>Г-ввод ул.Светлая,23,п.Овощной к РГСД п.Койсуг, газопровод ГРС Азовский р-н, аренда</t>
  </si>
  <si>
    <t>Г-ввод ул.Светлая,25,п.Овощной к РГСД п.Койсуг, газопровод ГРС Азовский р-н, аренда</t>
  </si>
  <si>
    <t>Г-ввод ул.Светлая,27,п.Овощной к РГСД п.Койсуг, газопровод ГРС Азовский р-н, аренда</t>
  </si>
  <si>
    <t>Г-ввод ул.Светлая,29,п.Овощной к РГСД п.Койсуг, газопровод ГРС Азовский р-н, аренда</t>
  </si>
  <si>
    <t>Г-ввод ул.Советская,26А,с.Кагальник кРГНД по М.Спуску,Советск,с.Кагальник,Азрвский р-н,аренда</t>
  </si>
  <si>
    <t>Г-ввод ул.Солнечная,22,п.Овощной к РГСД п.Койсуг, газ-д ГРС, Азовский район,аренда</t>
  </si>
  <si>
    <t>Г-ввод ул.Украинская,90,кв.2,г.Азов к РГНД по ул.Украинской от ж.д.37 до ж.д.№99,г.Азов,аренда</t>
  </si>
  <si>
    <t>Г-ввод ул.Южная,8,г.Азов к РГНД по ул.Победы к ж.д. № 14,г.Азов,аренда</t>
  </si>
  <si>
    <t>ГВНД с ГРПШ с.Петровка и с.Платоно-Петровка, Азовский р-н, инв.000013826</t>
  </si>
  <si>
    <t>ГНД бульвару Роз, п.Петровский,Азов, инв.22-06028</t>
  </si>
  <si>
    <t>ГСД х.Рогожкино, Азовский р-н, инв.22-06038</t>
  </si>
  <si>
    <t>ГСД х.Чумбур-Коса Азовского района. инв 22-04933</t>
  </si>
  <si>
    <t>РГ х.Красный Сад, Азовский р-н, инв.000015994</t>
  </si>
  <si>
    <t>РГ х.Усть-Койсуг, Азовского района, инв.00-000580</t>
  </si>
  <si>
    <t>РГВНД с уст. ГРПШ ул.Л.Толстого, с.Семибалки, Азовского района, инв.000016577</t>
  </si>
  <si>
    <t>РГНД ст.Елизаветинская,х.Коса,Азовского района, инв.000013768</t>
  </si>
  <si>
    <t>Г-ввод ул.Высотная,1,х.Большой Лог к ГСД 3 кат.по ул.Новоселов,х.Б.Лог,Аксайский р-н, аренда</t>
  </si>
  <si>
    <t>Г-ввод ул.Комарова,50а, п.Рассвет к ПГНД ул.Комарова,п.Рассвет, Аксайский р-н,аренда</t>
  </si>
  <si>
    <t>Г-ввод ул.Ленина,39, х.Большой Лог, к ПГНД  по ул.Ленина в х.Большой Лог,Аксайский р,аренда</t>
  </si>
  <si>
    <t>Г-ввод ул.Молодежная,66,п.Российский к ГНД п.Российский,Аксайский район, аренда</t>
  </si>
  <si>
    <t>Г-ввод ул.Молодежная,68,п.Российский к ГНД п.Российский,Аксайский район, аренда</t>
  </si>
  <si>
    <t>Г-ввод ул.Школьная,27,п.Российский к ПГНД ул.Школьная п.Российский,Аксайский район, аренда</t>
  </si>
  <si>
    <t>Г-ввод ул.Южная,10,п.Дорожный к ГНД 4кат.от выхода из ГРП по ул.Южная,п Дорожный,Аксайский р-,аренда</t>
  </si>
  <si>
    <t>ГНД ул.Либкнехта, Аксай</t>
  </si>
  <si>
    <t>ВГ п.Отрадный Багаевского р РО, инв.00-000575</t>
  </si>
  <si>
    <t>ВГ х.Ажинов Багаевского р-на, инв.000015616</t>
  </si>
  <si>
    <t>ГВНД с ГРПШ п.Реконструктор,Аксайского района,инв.000013435</t>
  </si>
  <si>
    <t>ГНД сев.часть ст.Старочеркасская,Аксайского р-на, инв.01-00876</t>
  </si>
  <si>
    <t>ГНД ул.Железнодорожная, от 130 до 108/106, г. Аксай, инв 01-00206</t>
  </si>
  <si>
    <t>ГНД х.Большой Лог ул.Фадеева от ж.д.№189 до ж.д.№70, инв. 01-00989</t>
  </si>
  <si>
    <t>ГСД пр.Ленина, г. Аксай,инв 000016810</t>
  </si>
  <si>
    <t>ГСНД 9-ый пер. ГРПШ (зак) ул.Красноармейской,ст.Ольгинская, Аксайский р-н,(солнеч.бат) инв. 01-00978</t>
  </si>
  <si>
    <t>МГСНД ул.Онучкина, х.Ленина,Аксайского района, инв.000013670</t>
  </si>
  <si>
    <t>ПГСД к микрорайону ООО "Казачий Дон" ст.Старочеркасская Аксайского инв.000016267</t>
  </si>
  <si>
    <t>ПГСД ул.Садовой,Вартанова,Речникова,г.Аксай, инв.01-00655</t>
  </si>
  <si>
    <t>ПНГНД от №54 по ул.Станиславского до №4 по ул.Фурманова,г.Аксай, инв.000014357</t>
  </si>
  <si>
    <t>ПНГНД ул.Луначарского  от 91 до 152, г Аксай, инв.000014356</t>
  </si>
  <si>
    <t>РС ул.Подгорная,Набережная,Восточная,х.Малый Мишкин,Аксайский р-н, инв.01-00937</t>
  </si>
  <si>
    <t>Г-ввод Транспортная,131-1,г.Таганрог к ГНД-14 16294,2м ул.А.Глушко, г.Таганрог, аренда</t>
  </si>
  <si>
    <t>Гараж п.Атаева, г.Белая Калитва</t>
  </si>
  <si>
    <t>Г-ввод пер.Узкий,1а,г.Новочеркасск РГНД пер.Узкий,г.Новочеркасск, аренда</t>
  </si>
  <si>
    <t>Г-ввод пр.Платовский,77а,г.Новочеркасск к РГНД по ул.Михайловская,г.Новочеркасск,аренда</t>
  </si>
  <si>
    <t>Г-ввод ул.Буденовская,38 к ГНД по ул.Буденовская,г.Новочеркасск,аренда</t>
  </si>
  <si>
    <t>Г-ввод ул.Ефремова,59,г.Новочерскасск от г-да по ул.Ефремова,г.Новочеркасск,аренда</t>
  </si>
  <si>
    <t>Г-ввод ул.Клещева,72а,г.Новочеркасск к РГНД ул.Клещева, г.Новочеркасск, аренда\</t>
  </si>
  <si>
    <t>Г-ввод ул.Октябрьская,152, г.Новочеркасск к г-ду ул.Октябрьская,г.Новочеркасск, аренда</t>
  </si>
  <si>
    <t>ГВНД ул.Булавина, г. Новочеркасск, инв.000014698</t>
  </si>
  <si>
    <t xml:space="preserve">РГНД ст.Заплавская, Октябрьский район (2 этап), инв.00-000510 </t>
  </si>
  <si>
    <t>РГСНД ул.Железнодор.,сп.Герцена,ул.Никольского,пр.Платовский, г.Новочеркасск,инв.00-001101</t>
  </si>
  <si>
    <t>ГНД с ГРПШ в мкр Плодопитомник, Семикаракорск,инв.000013192</t>
  </si>
  <si>
    <t>НПГНВД ул.Степная, ул. Лазорева, 1-й переулок,2-й переулок, пер. Короткий,г. Семик-ск, инв 32-30248</t>
  </si>
  <si>
    <t>ПГНД ул.Центральная, х.Пухляковский,Усть-Донецкий район,инв.32-31029</t>
  </si>
  <si>
    <t>ПНГВНД от ГРС в Усть-Донецком р-не х.Апаринский от ул.Промышл,Инженер,Мира ,Новостр,инв.000015507</t>
  </si>
  <si>
    <t>Рек ГРПШ х.Вислый,ул.Трудовая-ул.Спортивная,Семикаракорск инв.000013194</t>
  </si>
  <si>
    <t>ВГ х.Карповка Багаевского р инв. 00-000129</t>
  </si>
  <si>
    <t>ГВСД вдоль а/д Аксай-Новочеркасск на сев. тр.х.Пчеловодный, ул.Подтелкова,инв.000013746</t>
  </si>
  <si>
    <t>РГСНД ул.Октябрьская,Аксайский район,п.Российский,инв.01-00891</t>
  </si>
  <si>
    <t>Автоматич.сис-ма пож.сигнал.в автом.боксах и производ.помещ., г.Новошахтинск</t>
  </si>
  <si>
    <t>Гараж (рек) (Литер Г1),ул.Мира,26,г.Зерноград,инв.15-10034</t>
  </si>
  <si>
    <t>Парков.зона ул.Калинина,25,г.Белая Калитва,Белокалитвинский р-н</t>
  </si>
  <si>
    <t>Пожарн.сигнл.автом.боксах и произ.ул.Карбышева,60,г.Кр.Сулин,Красносулинский р-н,инв.9-11007</t>
  </si>
  <si>
    <t>Пост пров-ки газоб.оборуд.ул.Гагарина,27,г.Аксай</t>
  </si>
  <si>
    <t>Пост пров-ки газоб.оборуд.ул.Извилистая,3,г.Ростов-на-Дону</t>
  </si>
  <si>
    <t>Пост пров-ки газоб.оборуд.ул.Орджоникидзе,14,с.Песчанокопское,Песчанокопский р-н</t>
  </si>
  <si>
    <t>Пост пров-ки газоб.оборуд.ул.Спартака,167,ст.Багаевская,Багаевский р-н</t>
  </si>
  <si>
    <t>Пост пров-ки газоб.оборуд.ул.Трактовая,53, г.Сальк</t>
  </si>
  <si>
    <t>Пост пров-ки газоб.оборуд.ул.Южная,5,г.Батайск</t>
  </si>
  <si>
    <t>Система видеонаблюдения учебно-методического центра ул.Южная,5,г.Батайск</t>
  </si>
  <si>
    <t>Уст-во огр. расхода газа на ГВД с.Чалтырь,х.Красный Крым,Мясниковский р-н, инв.22-00920</t>
  </si>
  <si>
    <t>Уст-во огр. расхода газа на ГВД с.Чалтырь,ГГРП ул.Луговая,Мясниковский р-н, инв.22-00478</t>
  </si>
  <si>
    <t>МГ х.Золотаревка,х.Павлов,Семикаракорский р-н</t>
  </si>
  <si>
    <t>РГ для газ-и ул.Пионерская,Марата Мечникова,Чернышевского,г.Новошахтинск</t>
  </si>
  <si>
    <t>РГ с.Табунщиково,Красносулинский р-н</t>
  </si>
  <si>
    <t>РГ ул.Южная,К.Цеткин,Пионерская,больница Электровозная,Знамя Поб.Горлова,Войк,г.Новошахтинск</t>
  </si>
  <si>
    <t>РГ х.Виноградный,Усть-Донецкий р-н</t>
  </si>
  <si>
    <t>РГ х.Некрасовка,Неклиновский р-н</t>
  </si>
  <si>
    <t>РГ х.Ольховский,Усть-Донецкий р-н</t>
  </si>
  <si>
    <t>РГ х.Павлов,Семикаракорский р-н</t>
  </si>
  <si>
    <t>РГ х.Сужено,Неклиновский р-н</t>
  </si>
  <si>
    <t>ВГ х.Ракитный,Зерноградский р-н</t>
  </si>
  <si>
    <t>ГВД от ГРС Шахты до сущ.сетей газораспрделения</t>
  </si>
  <si>
    <t>ГНД для газ-и ж.кв.пер.Виноградный,ст.Боковская,Боковский р-н</t>
  </si>
  <si>
    <t>ГНД для газ-и ж. кв. ул.Заречной,пер.Чирский,терновый,Ковыленский,ст.Боковская,Боковский р-н</t>
  </si>
  <si>
    <t>ГНД п.Украинский,Красносулинский р-н</t>
  </si>
  <si>
    <t>ГПСД ул.Ленина,Вишневая,ул.Патоличева до Птицекомбинат,ст.Егорлыкская,Егорлыкский р-н,инв.15-03012</t>
  </si>
  <si>
    <t>ГРП № 8 (уст) ул.Гайдара,г.Батайск,инв.3-040279</t>
  </si>
  <si>
    <t>ГСД пер.Базарный,ул.Петровского,п.Чертково,Чертковский р-н</t>
  </si>
  <si>
    <t>ГСД ул.Ленина,23 до ввода в ГРПШ по ул.Ленина,18,ст.Боковская,Боковский р-н</t>
  </si>
  <si>
    <t>ГСНД ГРПБ для газ-ции жд ул.Луначарского,Чехова,Фрунзе,Шестой,Проезд,г.Донец</t>
  </si>
  <si>
    <t>МГ х.Романов,Моисеев,Дубовский р-н</t>
  </si>
  <si>
    <t>МГВД х.Верхняковский,Верхнедонской р-н</t>
  </si>
  <si>
    <t>МГВД х.Хмызов,Малахов,еритовка,Миллеровский р-н</t>
  </si>
  <si>
    <t>РГ от ШРП № 5 п.ш. Антацит,г.Гуково</t>
  </si>
  <si>
    <t>РГ от ШПР № 50-58, п.ш.Октябрьская,г.Гуково</t>
  </si>
  <si>
    <t>РГ от ШРП № 57 в п.ш.№ 24,г.Гуково</t>
  </si>
  <si>
    <t>РГ ул.Колхозная,пер.Садовый,г.Гуково</t>
  </si>
  <si>
    <t>РГ х.Еритовка,Миллеровский р-н</t>
  </si>
  <si>
    <t>РГ х.Моисеев,Дубовский р-н</t>
  </si>
  <si>
    <t>РГНД ул.Красносулинская,Российская,Возрождение,пер.Мартовский,Урожайный,Радостный,Летний,Весенний,г.Гуково</t>
  </si>
  <si>
    <t>РГНД ул.Лесная,Островского,тургенева,Стахановская,Шахтная от ШРП № 51,г.Гуково</t>
  </si>
  <si>
    <t>РГНД х.Михайловский,Верхнедонской р-н</t>
  </si>
  <si>
    <t>РГ г-да х.Малахов,Миллеровский р-н</t>
  </si>
  <si>
    <t>СГ для газ-ции п.Липовка,Тарасовский р-н</t>
  </si>
  <si>
    <t>Уст.ГРП №3 г. Сальск, ул. Свободы, инв.№ 31-04126</t>
  </si>
  <si>
    <t>ГСНД ГРПБ для газ-ции д ул.Пограничная,г.Донецк</t>
  </si>
  <si>
    <t>РГ ул.Молодежная,пер.Западный,Дорожная,дачная,пер.Южный,г.Гуково</t>
  </si>
  <si>
    <t>Г-ввод ул.Победы,43, произв.здание г.Азов</t>
  </si>
  <si>
    <t>Г-ввод к объекту: ДНТ "Ивушка", х. Махин, Аксайский район</t>
  </si>
  <si>
    <t>Г-ввод ул.Дзержинского,93, к РГНД ул.Дзержинского пер.Коллонтаевс,пл.!!! Интерн.г.Азов,аренда</t>
  </si>
  <si>
    <t>Г-ввод ул.Дружбы,44/11, г.Азов, к ГСД ул.Дружбы к кот.РСМ г.Азов,аренда</t>
  </si>
  <si>
    <t>Г-ввод ул.Заводская,1Б,х.Обуховка,РГНД х.Обуховка,Азовский р-н, стор.</t>
  </si>
  <si>
    <t>Г-ввод ул.К.Маркса,53,с.Пешково к РГНД по ул.К.Маркса от ул.Строителей до ж.д.52,Азовский р-н,аренда</t>
  </si>
  <si>
    <t>Г-ввод ул.Кошевого,42,г.Азов к РГНД по ул.Кошевого от  ул. Кондаурова.г.Азов,аренда</t>
  </si>
  <si>
    <t>Г-ввод ул.Ленина,108 к РГНД ул.Ленина послн ГРПШ-1.х.Колузаево,Азовский р-н,аренда</t>
  </si>
  <si>
    <t>Г-ввод ул.М.Горького,2б,х.Задонский к РГНД от ГПР ул.Ленина,Нольнойх.Задонский, Азовский р-н,аренда</t>
  </si>
  <si>
    <t>Г-ввод ул.Матросова,пер.Павлова,1/5а,г.Азов к ГНД ул.Павлова,Железнод,Красногор, г.Азов, аренда</t>
  </si>
  <si>
    <t>Г-ввод ул.Октябрьская,66, с.Новоб,РГНД пер.Лермонтов,Октябрь.,с.Новобатайск,Кагальницкий р-н,аренда</t>
  </si>
  <si>
    <t>Г-ввод ул.Пушкина,9,х.Полтава,-1,РГНД х.Полтава,Азовский р-н,стор.</t>
  </si>
  <si>
    <t>Г-ввод ул.Степная,24В к РГНД от ШРП до жд п.Солнечный,г.Азов, аренда</t>
  </si>
  <si>
    <t>Г-ввод ул.Степная,44, к РГНД от ШРП до жд в п.Солнечный, г.Азов, аренда</t>
  </si>
  <si>
    <t>Г-ввод ул.Мельничная,94-а,ст.Багаевская,Багаевский р-н, стор.</t>
  </si>
  <si>
    <t>Г-ввод ул.Свободы,15,ст.Багаевская,Багаевский р-н, стор.</t>
  </si>
  <si>
    <t>ГВД ул.Свободы от ГГРП до Автовокзала,ст Багаевская,Багаевский р-он,инв.01-00423</t>
  </si>
  <si>
    <t>ГНД х.Елкин,Багаевского района, инв.000013175</t>
  </si>
  <si>
    <t xml:space="preserve"> ГНД от № 71 до № 100/140 по ул.Подтелкова,  г.Аксай,инв.01-00248</t>
  </si>
  <si>
    <t xml:space="preserve"> ГНД ул.К.либкнехта,51, до строения №51 по ул.Революции, г.Аксай, инв. 01-00247</t>
  </si>
  <si>
    <t xml:space="preserve"> ГНД ул.Луначарского,Шевченко,Революции, г.Аксай, инв.01-00234</t>
  </si>
  <si>
    <t>Г-ввод днт Агро-клуб Усадьба,26-338, х.Махин,Аксайский р-н, стор.</t>
  </si>
  <si>
    <t>Г-ввод днт Алмаз, 689,Аксайский р-н, стор.</t>
  </si>
  <si>
    <t>Г-ввод ул.9 линия,1347, ДНТ "Алмаз", Аксайский р-н,стор.</t>
  </si>
  <si>
    <t>Г-ввод ул.Васильковая,4-а,х.Большой Лог, Аксайский р-н, стор.</t>
  </si>
  <si>
    <t>Г-ввод ул.Вербная,46,г.Аксай,стор.</t>
  </si>
  <si>
    <t>Г-ввод ул.Восточная,7-А, п.Рассвет, Аксайский р-н, стор.</t>
  </si>
  <si>
    <t>Г-ввод ул.Высотная,3, х.Большой Лог, Аксайский р-н,инв.00-001426</t>
  </si>
  <si>
    <t>Г-ввод ул.Земляничная,2112,2113, снт Содружество,Аксайский р-н,стор.</t>
  </si>
  <si>
    <t>Г-ввод ул.Каскадная,5,п.Реконструктор,Аксайский р-н, стор.</t>
  </si>
  <si>
    <t>Г-ввод ул.Каскадная,7,п.Реконструктор, Аксайский р-н, стор.</t>
  </si>
  <si>
    <t>Г-ввод ул.Лазурная,16,п.Октябрьский,Аксайский р-н, стор.</t>
  </si>
  <si>
    <t>Г-ввод ул.Лазурная,5, снт Солнечная Поляна,Аксайский р-н ,стор.</t>
  </si>
  <si>
    <t>Г-ввод ул.Ландышевая,151,СНТ Содружество, Аксайский р-н, стор.</t>
  </si>
  <si>
    <t>Г-ввод ул.Мира,19,х.Веселый,Аксайский р-н,стор.</t>
  </si>
  <si>
    <t>Г-ввод ул.Михайловская,28, г.Аксай,стор.</t>
  </si>
  <si>
    <t>Г-ввод ул.Молдавская,27, п.Дорожный, к ПНГСНД ул.Молдавская,п.Дорожный,Аксайский р-н,аренда</t>
  </si>
  <si>
    <t>Г-ввод ул.Молодежная,60, к ПГНД ул.Комсом,Молод,п.Рассвет, Аксайский р-н,аренда</t>
  </si>
  <si>
    <t>Г-ввод ул.Новая,16В х.Большой Лог к ПГВСД ул.Новая,х.Большой Лог, Аксайский р-н, аренда</t>
  </si>
  <si>
    <t>Г-ввод ул.Парковая,38/4,п.Российский,Аксайский р-н, стор.</t>
  </si>
  <si>
    <t>Г-ввод ул.Пешеходная,28, СНТ "Ника-4", сп.Большелогское,Аксайский р-н,стор.</t>
  </si>
  <si>
    <t>Г-ввод ул.Пионерская,116, х.Ленина, Аксайский р-н, стор.</t>
  </si>
  <si>
    <t>Г-ввод ул.Советская, 75 к ПГНД ул.Ленина, х.Большой Лог, Аксайский р-н, аренда</t>
  </si>
  <si>
    <t>Г-ввод ул.Советская,10-Б, п.Щепкин, Аксайский р-н, стор.</t>
  </si>
  <si>
    <t>Г-ввод ул.Советская,339,ст.Грушевская, Аксайский р-н, стор.</t>
  </si>
  <si>
    <t>Г-ввод ул.Строителей, 48, п.Щепкин,Аксайский р-н, стор.</t>
  </si>
  <si>
    <t>Г-ввод ул.Тарасовская,7, г.Аксай,Аксайский р-н, стор.</t>
  </si>
  <si>
    <t>ПГНД ул.Буденного по ул.Д.бедного Аксай</t>
  </si>
  <si>
    <t>ПГСД от котельной №1 ул.Институтская,32, п.Рассвет,Аксайский р-н, инв.000013672</t>
  </si>
  <si>
    <t>ПГСНД вр в сущ гсд от стр № 117 по ул. 40 лет Победы в г.Ростове,инв.000015831</t>
  </si>
  <si>
    <t>ПНГНД от выхода ГСД расп в 11,4 м юго-запад угла ГРП № 22 по ул.Ленина в г.Аксай, инв.000015074</t>
  </si>
  <si>
    <t>ПНГНД ул Шолохова Аксай</t>
  </si>
  <si>
    <t>РГНСД для газ-и ж.д. п.Элитный, Аксайский район, ин.в000015615</t>
  </si>
  <si>
    <t>ГНД ул.Докукина-Южная граница города,Советская,Кирова г.Зверево,инв.№ 9-42021</t>
  </si>
  <si>
    <t>ГНД ул.Крупской,Вокзальная,Качалова,Безямянная, г.Зверево,инв.№ 000013306</t>
  </si>
  <si>
    <t>Г-ввод ул.Ботаническая 9 А   к Газификация ж.мкр.№42 в пос.ш.Антрацитг.Гуково,аренда</t>
  </si>
  <si>
    <t>Г-ввод ул.Центральная 105 к ГНД по ул.Центральная (от ГРП-9 А до ж.д.101) г.Гуково,аренда</t>
  </si>
  <si>
    <t>ГНД ул.Ульянова г.Гуково,инв.№000016163</t>
  </si>
  <si>
    <t>ГНД от ШРП 1,2,4 к ж.д.,ограниченным ул.Овражная,Красная Горка,Ковалева г.Гуково,инв.№000015833</t>
  </si>
  <si>
    <t>ГСД с ГРП №13 и ГНД ул.Краснодарская,Жуковского,Смоленская,Цимлянская,Добролюбова г.Гуково,инв.№9-41576</t>
  </si>
  <si>
    <t>РГ от ШРП №12,47,48 п.ш.Ростовская г.Гуково,инв.№000015026</t>
  </si>
  <si>
    <t>РГ от ШРП №17,56 п.ш.№24-26,Русецкий г.Гуково,инв.№000013751</t>
  </si>
  <si>
    <t>РГ от ШРП №18,57 п.ш.№24-26,Русецкий г.Гуково,инв.№00-000511</t>
  </si>
  <si>
    <t>РГ от ШРП №19  п.ш.№24-26,Русецкий г.Гуково,инв.№00-002264</t>
  </si>
  <si>
    <t>Г-ввод ул.Ворошилова,100 к ПГ ул.Ворошилова,88, ст.Егорлыкская, Егорлыкский р-н, аренда</t>
  </si>
  <si>
    <t>ГВНД х.Красный Яр Кагальницкий р-н, инв. 00-001996</t>
  </si>
  <si>
    <t>ГВСД ул.Макаренко, Остапенко, Пирогова, Машиностроительная, г.Зерноград, инв 15-70302</t>
  </si>
  <si>
    <t>ГНД ул.Вольная,Комарова,Казачья,Школьная,ст.Хомутовская,Кагальницкий р-н, инв.000015412</t>
  </si>
  <si>
    <t>ГНД ул.Первоконная от пер.Грицика до п.Калин,вост.окр.ст.Егорлыкской, Егорлыкский р-н,инв.000014122</t>
  </si>
  <si>
    <t>ГПНД г.Зерноград, инв. 15-50211</t>
  </si>
  <si>
    <t>ГПНД от № 151 по ул. Калинина,до № 35 по пер. Казачий, ст. Кагальницкая, Кагальн р.инв 15-45478</t>
  </si>
  <si>
    <t>ГПНД от № 1до № 31 по ул. Первомайская , п.Двуречье,Кагальницкий р-н,инв 15-50509</t>
  </si>
  <si>
    <t>ГПНД ул.Горького,50,ст. Кагальницкая, Кагальницкий р-н, инв.15-45697</t>
  </si>
  <si>
    <t>ГПНД ул.Ленина,г.Зерноград инв.15-45608</t>
  </si>
  <si>
    <t>ГПНД ул.Почтовая, ул.Базарная , ст.Кагальницкая, инв.15-45470</t>
  </si>
  <si>
    <t>ГПНД ул.Чкалова, ул.Ленина, г.Зерноград, инв.15-45610</t>
  </si>
  <si>
    <t>ПНГСД ул.Мичурина,пер.Гагарина, до ул.Ростовск,ст. Егорлыкская, Егорлыкский район,инв.00-000238</t>
  </si>
  <si>
    <t>ПНГСД ул.Тургенева,Советская,Патолич,Ленина,ст.Егорлыкская,Егорлыкский р-н, инв.000015581</t>
  </si>
  <si>
    <t>РГНД х.Верхний Хомутец, Веселовского р-на, игв.000013822</t>
  </si>
  <si>
    <t>РГНД х.Кагальничек,Кагальницкого р-на, инв.15-70401</t>
  </si>
  <si>
    <t>Г-ввод ул. Дорожная 1 х Морозов к ГВСНД х Морозов Морозовского р-на аренда</t>
  </si>
  <si>
    <t>Г-ввод ул. Кольцевая 28 х Морозов к ГВСНД х Морозов Морозовского р-на аренда</t>
  </si>
  <si>
    <t>Г-ввод ул. Пчеловодческая 1а х Морозов к ГВСНД х Морозов Морозовского р-на аренда</t>
  </si>
  <si>
    <t>ГСД ул. Калинина Дербенцева г Морозовск инв. 21-961</t>
  </si>
  <si>
    <t>ПГСД от ГГРП к воен. Город. г Морозовск инв 21-29</t>
  </si>
  <si>
    <t>ГСД с.Березовка,Сальский район,инв 31-03340</t>
  </si>
  <si>
    <t>23.10.2017</t>
  </si>
  <si>
    <t>ПНГВНД ул.Одесская, ул.Крайнюка,ул.Локтионова,ул.Димурина,г.Сальск, инв.000016027</t>
  </si>
  <si>
    <t>ПНГНД ул.Воровского,Верхняя,Прямая,Целинная, г.Сальск,инв.000015903</t>
  </si>
  <si>
    <t>ПНГСНД ул.Буденного,И.Яицкого,Полуляшк,Кирова,Школь, Ленина, с.Ивановка, Сальский р-н, инв.000015908</t>
  </si>
  <si>
    <t>09.10.2017</t>
  </si>
  <si>
    <t>ГВНД ул.Калинина 11-й переулок, Озерная,г.Семикаракорск, инв.000013198</t>
  </si>
  <si>
    <t>Г-ввод Магистральный сад,16,с.Вареновка,ВНГ АГРС Самбек,Варен,ул.Родник,Пер,Неклиновский р-н, аренда</t>
  </si>
  <si>
    <t>Г-ввод пер.Армейский,16, г.Таганрог, ГНД п.Вечность, г.Таганрог, аренда</t>
  </si>
  <si>
    <t>Г-ввод пер.Гоголевский,100,г.Таганрог к ГНД ул.А.Глушко, г.Таганрог, аренда</t>
  </si>
  <si>
    <t>Г-ввод пер.Овражный,3,г.Таганрог,стор.</t>
  </si>
  <si>
    <t>Г-ввод пер.Тургеневский,84,г. Таганрог к ГАЗ/П-11НД21198м,А.Глушко,аренда</t>
  </si>
  <si>
    <t>Г-ввод ул.Азовская,71, х.Николаево-Козловский ВНГ х.Талалаевский,Никол-Козлов,Неклиновский р-н,аренд</t>
  </si>
  <si>
    <t>Г-ввод ул.Б.Бульварная,13-11, г.Таганрог, к ПГСД ул.Б.Бульварная,г.Таганрог,аренда</t>
  </si>
  <si>
    <t>Г-ввод ул.Березовая,7,с.Покровское,Неклиновский р-н, стор.</t>
  </si>
  <si>
    <t>Г-ввод ул.Доменская,45,г.Таганрог, к ГНД Домчебсов,г.Таганрог,аренда</t>
  </si>
  <si>
    <t>Г-ввод ул.Заречная,5, сл.Советская, к ВНГ х.Головинка,Советская до ШРП, Неклиновский р-н, аренда</t>
  </si>
  <si>
    <t>Г-ввод ул.Зеленая,13, с.Новобессергеневка,Неклиновский р-н, стор.</t>
  </si>
  <si>
    <t>Г-ввод ул.К.Либкнехта,23,г.Таганрог к г-ду А.Глушко,г.Таганрог,аренда</t>
  </si>
  <si>
    <t>Г-ввод ул.Кавказская,59б,с.Троицкое, ВНГ с.Троицкое,Кошкино.Неклиновский р-н,аренда</t>
  </si>
  <si>
    <t>Г-ввод ул.Кооперативная,39,с.Самбек,к ПГ с.Самбек,ул.Центр,Морск,Подг,Берег,Неклиновский р-н, аренда</t>
  </si>
  <si>
    <t>Г-ввод ул.Маршала Жукова,120,г.Таганрог, к ГНД 3 ЛИНПР 9НОВ,аренда</t>
  </si>
  <si>
    <t>Г-ввод ул.Межевая,7а,с.Николаевка,Неклиновский р-н ,стор.</t>
  </si>
  <si>
    <t>Г-ввод ул.Октябрьская,121, п.Золотая Коса,к ПГ х.Новолакедемонов Неклиновский р,аренда</t>
  </si>
  <si>
    <t>Г-ввод ул.Октябрьская,44а,с.А.Мелентьево, ВНГ ул.Октябр,Первом,Неклиновский р-н,аренда</t>
  </si>
  <si>
    <t>Г-ввод ул.Полевая,8а,с.Федоровка ВНГ с.Федоровка,улНабереКуйбСемаш Неклин р,аренд</t>
  </si>
  <si>
    <t>Г-ввод ул.Солнечная,40 с.Бессергеневка к ВНГ ул.Мирн1 от ШГРП-3 до Социал,с.Бесс, Неклинов р-н,аренд</t>
  </si>
  <si>
    <t>Г-ввод ул.Степная,35б,п.Зол.Коса к ВНГ х.Русск.Колодец,Маолод,Неклиновский р-н,аренда</t>
  </si>
  <si>
    <t>Г-ввод пер.Колпакова,11, РГНД ул.Дальнев,Ракетн,Дачная,г.Шахты, аренда</t>
  </si>
  <si>
    <t>Г-ввод пер.Культурный Уголок,18-в к ГНД ул.Дачн,пер.Пищевой,г.Шахты, аренда</t>
  </si>
  <si>
    <t>Г-ввод пер.Музыкальный,28, г.Шахты, стор</t>
  </si>
  <si>
    <t>Г-ввод пер.Рождественский,28, г.Шахты</t>
  </si>
  <si>
    <t>Г-ввод пер.Терешковой,24, г.Шахты,стор</t>
  </si>
  <si>
    <t>Г-ввод ул.Запасного,6,п.Новоперсиановка, к РГ Ново-Персиановка,ул.Сов,Молеж,, Октябрьский р-н,аренда</t>
  </si>
  <si>
    <t>Г-ввод ул.Калинина,144,р.п.Каменоломни,Октябрьский р-н</t>
  </si>
  <si>
    <t>Г-ввод ул.Поваренкина,53,п.Красногорняцкий, РГНД ул.Поваренкина,36-52,п.Красн.Октябрьский р-н,аренда</t>
  </si>
  <si>
    <t>Г-ввод ул.Советская,197 к РГНД ул.Сов,Агролесн,Лесная,сл.Красюковская,Октябрьский р-н, аренда</t>
  </si>
  <si>
    <t>Г-ввод ул.Социалистическая,2-г,х.Красный Кут, Октябрьский р-н</t>
  </si>
  <si>
    <t>Г-ввод ул.Шоссейная,1-з, г.Шахты к РГСД п.Каменоломни имп.Базе от Крупской, г.Шахты, аренда</t>
  </si>
  <si>
    <t>Г-ввод пер.Заводской,6а, г.Новочеркасск, стор.</t>
  </si>
  <si>
    <t>Г-ввод пер.Чистый,25, г.Новочеркасск, стор.</t>
  </si>
  <si>
    <t>Г-ввод ул.Железнодорожная,48, г.Новочеркасск, стор.</t>
  </si>
  <si>
    <t>Г-ввод ул.Лермонтова,11, г.Новочеркасск, стор.</t>
  </si>
  <si>
    <t>Г-ввод ул.Ненаглядная, ст Виноград, кв.1,уч.37, ст.Грушевская, Аксайский р-н,стор.</t>
  </si>
  <si>
    <t>Г-ввод ул.Речная,61, г.Новочеркасск, стор.</t>
  </si>
  <si>
    <t>Г-ввод ул.Тополиная,6, г.Новочеркасск, стор.</t>
  </si>
  <si>
    <t>Г-ввод ул.Флерова,20, г.Новочеркасск, стор.</t>
  </si>
  <si>
    <t>РГ ул.Сарматская,Коллективная,Радужная,Медовая, г.Новочеркасск,инв.00-000231</t>
  </si>
  <si>
    <t>Всего по Обществу</t>
  </si>
  <si>
    <t>Г-ввод ул.Колодезная, 2П,тепличный комплекс, г.Гуково</t>
  </si>
  <si>
    <t>Г-ввод пр.Шолохова,173,г.Ростов-на-Дону к ГНД по ул.Шолохова,г.Ростов-на-Дону,аренда</t>
  </si>
  <si>
    <t>Г-ввод ул.Студенческая,8,г.Ростов-на-Дону к ГСД по ул.Студенческая,г.Ростов-на-Дону, аренда</t>
  </si>
  <si>
    <t>Г-ввод пер.Прокатный,10А,г.Батайск к г-ду по пер. Прокатный ,г.Батайск,аренда</t>
  </si>
  <si>
    <t>Г-ввод пер.Прокатный,13а,г.Батайск к ПНГНД по пер.Прокатный (зак.от ул.Фрунзе до Садовой),аренда</t>
  </si>
  <si>
    <t>Г-ввод ул.М.Горького,491В к ГВД 2 кат по ул.Цимлянской, 39А, г.Батайск, аренда</t>
  </si>
  <si>
    <t>Г-д по территории с/т "Гидромеханизатор",г.Батайск, инв.000014302</t>
  </si>
  <si>
    <t>Г-д ул.Киевская, Дружбы, Гоголя, г.Батайск, инв.3-030144</t>
  </si>
  <si>
    <t>Г-д ул.Котовского, Рыбной,Калинина, г.Батайск, инв.3-030165</t>
  </si>
  <si>
    <t>Г-д ул.Кривошлыкова от пер. Западного до ул. Московской г.Батайск, инв.3-030191</t>
  </si>
  <si>
    <t>Г-д ул.Цимлянская,Балашова,Минская,Крымская,кооп."Союз", г.Батайск, инв.3-030383</t>
  </si>
  <si>
    <t>НГНД ул.Сальская-ул.Крымская, г.Батайск,инв.3-030385</t>
  </si>
  <si>
    <t>НедействуетГ-ввод ул.Гоголя,12,г.Батайск к г-ду по ул. Гоголя ,г.Батайск,аренда</t>
  </si>
  <si>
    <t>ПГВД и ПГНД ул.Минская,Ейская,Эстонская,Севастопольская,кооп."Магистраль", г.Батайск, инв.3-030386</t>
  </si>
  <si>
    <t>ПГН ул.Гоголя,95,г.Батайск,инв.3-030111</t>
  </si>
  <si>
    <t>ПГНД пер.Заречный,2 до ул.Почтовая,1, г.Батайск, инв.3-030129</t>
  </si>
  <si>
    <t>ПГНД ул.Иноземцева,Дружбы,г.Батайск, инв.3-030028</t>
  </si>
  <si>
    <t>ПГНД ул.Лермонтова,84, г.Батайск, инв.3-030399</t>
  </si>
  <si>
    <t>ПНГНД ул.Молдавская, Ставропольская, Крымская. Минская, г.Батайск инв.3-030388</t>
  </si>
  <si>
    <t>ПНГСД и ПГНД ул.Гайдаш от ул.Ленина до Гастелло и по ул.Матросова г.Батайск. инв.3-030088</t>
  </si>
  <si>
    <t>Г-ввод бул.Роз,16,г.Волгодонск,стор</t>
  </si>
  <si>
    <t>Г-ввод ДП Волгодонский Садовод,уч-к 1026а,г.Волгодонск, стор</t>
  </si>
  <si>
    <t>Г-ввод пер.Рябышева,18, г.Цимлянск,стор</t>
  </si>
  <si>
    <t>Г-ввод ул.Миллеровская,4/11, г.Волгодонск, стор</t>
  </si>
  <si>
    <t>Г-ввод ул.Колхозная,16, Миллерово к НГпо ул.Колхозная,Советск,Ломанный,г.Миллерово,аренда</t>
  </si>
  <si>
    <t>Г-ввод ул.Российская,126А, Миллерово к НГпо ул.Крупская,14-18, г.Миллерово,аренда</t>
  </si>
  <si>
    <t>Г-ввод ул.С.Разина,43, г.Миллерово к ПГНД пер.Донской,г.Миллерово,аренда</t>
  </si>
  <si>
    <t>Г-ввод ул.Сосновый Бор, с.Вешенская, РПЭГСД ул.Сосновый,Бор,с.Вешенская,Шолоховский р-н,аренда</t>
  </si>
  <si>
    <t>Г-ввод ул.Фестивальная,24,г.Миллерово, к НГ ул.Вермишева,Фестив,г.Миллерово, аренда</t>
  </si>
  <si>
    <t>Г-ввод ул.Школьная,4, х.Малотокмац,НГНД газ-е колх.Большевик,х.Малотокмацкий, Миллеровский р-н,аренд</t>
  </si>
  <si>
    <t>ГВНД ул.Садовая, г.Миллерово, инв.000013519</t>
  </si>
  <si>
    <t>31.07.2017                 01.11.2017</t>
  </si>
  <si>
    <t>ПГВД ул.Декабристов,Артиллерийская, г.Миллерово,инв.20-Ф0041</t>
  </si>
  <si>
    <t>Г-ввод ул.Советская,37, х.Рябичев, Волгодонский р-н,стор.</t>
  </si>
  <si>
    <t>Председатель комиссии:</t>
  </si>
  <si>
    <t>Зам.ген.директора по КСИ</t>
  </si>
  <si>
    <t>___________________</t>
  </si>
  <si>
    <t>А.А. Ноздрачев</t>
  </si>
  <si>
    <t>Члены комиссии:</t>
  </si>
  <si>
    <t xml:space="preserve"> </t>
  </si>
  <si>
    <t>Начальник управления по эксплуатации газораспределительных систем</t>
  </si>
  <si>
    <t>И.О. Сафронов</t>
  </si>
  <si>
    <t>Начальник управления  капитального строительства</t>
  </si>
  <si>
    <t>А.Н. Авилов</t>
  </si>
  <si>
    <t xml:space="preserve">Ведущий бухгалтер </t>
  </si>
  <si>
    <t>М.В.Щусь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</si>
  <si>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31.03.2018
</t>
  </si>
  <si>
    <t>НПГСНД п.Рассвет к п.Ковалевка и п.Золотой Колос,Аксайский р-н, инв.000015079</t>
  </si>
  <si>
    <t>Г-ввод в границах КСП им.Ленина,оптово-распред.центр,ОРЦ,Аксайский р-н</t>
  </si>
  <si>
    <t>Г-ввод нежилые помещения,АО Темерницкое,Аксайский р-н</t>
  </si>
  <si>
    <t>Г-ввод пр.Театральный,127/199-205, г.Ростов-на-Дону</t>
  </si>
  <si>
    <t>Г-ввод СД ул.1-й Конной Армии выставочный зал "Россия" - моя история, г.Ростов-на-Дону</t>
  </si>
  <si>
    <t>Г-ввод СД ул.Краснопартизанская,101, г.Белая Калитва</t>
  </si>
  <si>
    <t>Г-ввод ул.Объездная,9,Культурно-досуговый центр, г.Аксай</t>
  </si>
  <si>
    <t>Г-ввод ул.Парковая,5а,детско-юношеская спорт.школа № 2,г.Белая Калитва</t>
  </si>
  <si>
    <t>Г-ввод ул.Производственная,8,АБК,стол.цех,ЖБИ №1,ФПЦ-ВПИ, г.Батайск</t>
  </si>
  <si>
    <t>Г-ввод ул.Совхозная,32А,котельная,г.Ростов-на-Дону</t>
  </si>
  <si>
    <t>Г-ввод ул.Стабильная,3, многоквартирный жилой компл.с автост., г.Ростов-на-Дону</t>
  </si>
  <si>
    <t>Г-ввод х.Каменный Брод, асфальтобетонный завод,Родионово-Несветайский р-н</t>
  </si>
  <si>
    <t>583/17 от 21.08.2017</t>
  </si>
  <si>
    <t>Г-ввод Кагальницкое шоссе,18А, г.Азов,РГСД от КПА к кот.Тубдиспансера,гАзов,аренда</t>
  </si>
  <si>
    <t>31.06.2018</t>
  </si>
  <si>
    <t>Г-ввод Кагальницкое шоссе,в р-не ГСК Автомобилист, г.Азов, РГСД ул.Промышл,ГРП з-а КПА,г.Азов,аренда</t>
  </si>
  <si>
    <t>Г-ввод пер.Дугинчик,12,х.Дугино,к РГСД х.Дугино,ГРПШ-4,7,Азовский р-н,аренда</t>
  </si>
  <si>
    <t>Г-ввод пер.Карьерный,28,г.Азов, РГНД пер.Надежный,14, г.Азов,аренда</t>
  </si>
  <si>
    <t>Г-ввод пер.Короткий,2,г.Азов,ГНД ул.Солнечный,Красногоровской,Азовский р-н,аренда</t>
  </si>
  <si>
    <t>Г-ввод пер.Новослободский,3,с.Самарское,РГНД ул.Юбилейная,с.Самарское,Азовский р-н,аренда</t>
  </si>
  <si>
    <t>Г-ввод пер.Новослободский,7,с.Самарское,Азовский р-н,стор.</t>
  </si>
  <si>
    <t>Г-ввод пер.Полевой,23Б,г.АЗов,РГНД пер.Полевой,Матрос,г.Азов,аренда</t>
  </si>
  <si>
    <t>Г-ввод пер.Тихий,7А,г.Азов,РГНД ул.Азовская,жд №3-27,г.Азов,аренда</t>
  </si>
  <si>
    <t>Г-ввод пер.Урицкого,4,с.Головатовка,Азовский р-н,стор.</t>
  </si>
  <si>
    <t>Г-ввод снт Мичуринец-2,уч-к 551,Азовский р-н, стор.</t>
  </si>
  <si>
    <t>Г-ввод ул.Азовская,69 А,г.Азов,ГНД ул.Красногор,Павл,г.Азов,аренда</t>
  </si>
  <si>
    <t>Г-ввод ул.Азовская,95,г.Азов,ГНД ул.Красногор,Павл,Азовск,г.Азов,аренда</t>
  </si>
  <si>
    <t>Г-ввод ул.Гагарина,18/1,г.Азов,стор.</t>
  </si>
  <si>
    <t>Г-ввод ул.Дзержинского,49,с.Кагальник,ГНД ул.Дзержин.,М.Горького,с.Кагальник,Азовский р-н,аренда</t>
  </si>
  <si>
    <t>Г-ввод ул.Дугинчик,12,х. Дугино к РГСД подв. к х. Дугино, ГРПШ-4,Мясниковский р-н, аренда</t>
  </si>
  <si>
    <t>Г-ввод ул.Зеленый Гай,69, с.Самарское,РГНД ул.Зеленый Гай,с.Самарское,Азовский р-н</t>
  </si>
  <si>
    <t>Г-ввод ул.Луначарского,15Б,с.Семибалки,Азовский р-н,стор.</t>
  </si>
  <si>
    <t>Г-ввод ул.Макаровского,58,г.Азов,РГНД ул.Макаровского,пер.Урицк,г.Азов,аренда</t>
  </si>
  <si>
    <t>Г-ввод ул.Матросова,21/12 г.Азов. к РГНД по ул. Матросова от ул.Павловой ,Азов.аренда</t>
  </si>
  <si>
    <t>Г-ввод ул.Маяковского,146,с.Самарское,РГНД ул.Мельничн,пер.Первом,с.Самарское,Азовский р-н,аренда</t>
  </si>
  <si>
    <t>Г-ввод ул.Набережная,113,х.Рогожкино,Азовский р-н,стор.</t>
  </si>
  <si>
    <t>Г-ввод ул.О.Кошевого,5,г.Азов,РГСД ул.Кошев,Мира до Москов,г.Азов,аренда</t>
  </si>
  <si>
    <t>Г-ввод ул.Оборонная,15,г.Азов, РГНД ул.Оборонная,г.Азов,аренда</t>
  </si>
  <si>
    <t>Г-ввод ул.Павлова,73 Д,г.Азов, ГНД ул.Ст.Разина,Ленина,Железн,г.Азов,аренда</t>
  </si>
  <si>
    <t>31.11.2018</t>
  </si>
  <si>
    <t>Г-ввод ул.Пушкина,104,с.Кагальник,ГНД ул.Пушкина,М.Горького,с.Кагальник,Азовский р-н,аренда</t>
  </si>
  <si>
    <t>Г-ввод ул.Пушкина,34,с.Кагальник,ГНД ул.Пушк,Пролет,с.Кагальник,Азовский р-н,аренда</t>
  </si>
  <si>
    <t>Г-ввод ул.Севастопольская,73,г.Азов к РГНД по ул.Севастопольской от пер.Межевого до Кулагин,аренда</t>
  </si>
  <si>
    <t>ГНД (зак) ул.Ленина от Кооперативной до пер. Рыбацкий с Кагальник,Азовский район, инв№000014451</t>
  </si>
  <si>
    <t>ГНД пер.Красноармейскому до ж.д. № 7 по пер.Рыбацкий, с.Кагальник,Азовский район,инв.000014454</t>
  </si>
  <si>
    <t>ГСД для развития Северо-Восточной рекреационной зоны г.Азов</t>
  </si>
  <si>
    <t>36 506,99</t>
  </si>
  <si>
    <t>ПАО "Газпром газораспределение Ростов-на-Дону" в г.  Аксай</t>
  </si>
  <si>
    <t>Г-ввод ДНП Агро-клуб Усадьба, 28-371, Аксайский р-н, стор.</t>
  </si>
  <si>
    <t>Г-ввод пер.Грибной,18, п.Российский, Аксайский р-н, стор.</t>
  </si>
  <si>
    <t>Г-ввод пер.Звездный,2-в, ст.Старочеркасская,Аксайский р-н, стор.</t>
  </si>
  <si>
    <t>Г-ввод пер.Ореховый,12-Г, г.Аксай, стор.</t>
  </si>
  <si>
    <t>Г-ввод пер.Яркий,12, снт Виктория-7, п.Российский,Аксайский р-н,стор.</t>
  </si>
  <si>
    <t>Г-ввод с/т Энергия,237, Аксайский р-н, стор.</t>
  </si>
  <si>
    <t>Г-ввод ст Энергия,уч-к 177, Аксайский р-н, стор.</t>
  </si>
  <si>
    <t>Г-ввод ул.Абрикосовая,уч-к 886, СНТ Содружество,Аксайский р-н, стор</t>
  </si>
  <si>
    <t>Г-ввод ул.Брусничная,15, п.Степной,Аксайский р-н, стор.</t>
  </si>
  <si>
    <t>Г-ввод ул.Виноградная,1746, снт Содружество,Аксайский р-н, стор.</t>
  </si>
  <si>
    <t>Г-ввод ул.Грушевая, уч-к 1339, СНТ Содружество,Аксайский р-н,стор.</t>
  </si>
  <si>
    <t>Г-ввод ул.Жасминовая, уч-к 1788, СНТ Содружество,Аксайский р-н, стор.</t>
  </si>
  <si>
    <t>Г-ввод ул.Жасминовая, уч-к 1854, СНТ Содружество,Аксайский р-н, стор.</t>
  </si>
  <si>
    <t>Г-ввод ул.Жасминовая,1839, снт Содружество, Аксайский р-н, стор.</t>
  </si>
  <si>
    <t>Г-ввод ул.Заводская,6, х.Маяковского, Аксайский р-н</t>
  </si>
  <si>
    <t>Г-ввод ул.Изумрудная,18-А,г.Аксай,стор.</t>
  </si>
  <si>
    <t>Г-ввод ул.Каскадная,17, п.Реконструктор, Аксайский р-н, стор.</t>
  </si>
  <si>
    <t>Г-ввод ул.Каштановая, уч-к 2331, СНТ Содружество,Аксайский р-н, стор.</t>
  </si>
  <si>
    <t>Г-ввод ул.Комсомольская,64,ст.Мишкинская,Аксайский р-н,стор.</t>
  </si>
  <si>
    <t>Г-ввод ул.Косачева,27, п.Степной,Аксайский р-н, стор.</t>
  </si>
  <si>
    <t>Г-ввод ул.Красноармейская,154-Д,Аксайский р-н,стор.</t>
  </si>
  <si>
    <t>Г-ввод ул.Ландышевая, 229, снт Содружество, Аксайский р-н, стор.</t>
  </si>
  <si>
    <t>Г-ввод ул.Лилий, уч-к 2065, СНТ Содружество, Аксайский р-н,стор.</t>
  </si>
  <si>
    <t>Г-ввод ул.Луговая,21,х.Большой Лог,Аксайский р-н, стор.</t>
  </si>
  <si>
    <t>Г-ввод ул.Октябрьская,8, п.Российский,Аксайский р-н, стор.</t>
  </si>
  <si>
    <t>Г-ввод ул.Осенняя,1/2/37, СНТ Ника-4,Аксайский р-н, стор.</t>
  </si>
  <si>
    <t>Г-ввод ул.Парковая,27,п.Российский,Аксайский р-н, стор.</t>
  </si>
  <si>
    <t>Г-ввод ул.Парковая,29, п.Российский,Аксайский р-н, стор.</t>
  </si>
  <si>
    <t>Г-ввод ул.Персиковая, уч-к 2316, лит.А, СНТ Содружество,Аксайский р-н, стор.</t>
  </si>
  <si>
    <t>Г-ввод ул.Пешеходная,22, СНТ Ника-4,Аксайский р-н, стор.</t>
  </si>
  <si>
    <t>Г-ввод ул.Подтелкова,42, х.Камышеваха,Аксайский р-н, стор.</t>
  </si>
  <si>
    <t>Г-ввод ул.Пушкина,16-а,х.Большой Лог,Аксайский р-н, аренда</t>
  </si>
  <si>
    <t>Г-ввод ул.Пушкина,16-б,х.Большой Лог,Аксайский р-н, аренда</t>
  </si>
  <si>
    <t>Г-ввод ул.Пушкина,16-в,х.Большой Лог,Аксайский р-н, аренда</t>
  </si>
  <si>
    <t>Г-ввод ул.Пушкина,16,х.Б.Лог, к внепл.сетям кирпично-черепичного завода,Аксайский р-н,аренда</t>
  </si>
  <si>
    <t>Г-ввод ул.Родниковая,уч-к 2368, снт Содружество, Аксайский р-н, стор.</t>
  </si>
  <si>
    <t>Г-ввод ул.Ростовская,28и,п.Рассвет, Аксайский р-н, стор.</t>
  </si>
  <si>
    <t>Г-ввод ул.Сергеевская,63, стр.1, г.Аксай,стор.</t>
  </si>
  <si>
    <t>Г-ввод ул.Степная,32-А,ст.Ольгинская,Аксайский р-н, стор.</t>
  </si>
  <si>
    <t>Г-ввод ул.Фадеева,72, х.Большой Лог, Аксайский р-н, стор.</t>
  </si>
  <si>
    <t>Г-ввод ул.Широкая,198-Б,ст.Ольгинская,Аксайский р-н,стор.</t>
  </si>
  <si>
    <t>Г-ввод ул.Эксперементальная,67А, п.Рассвет, к ПГНД 4 кат,  Аксайский р-н,аренда</t>
  </si>
  <si>
    <t>Г-ввод ул.Ясененвая,1/10, п.Российский,Аксайский р-н, стор.</t>
  </si>
  <si>
    <t>Г-ввод ул.Ясная,уч-к 447, снт Содружество, Аксайский р-н, стор.</t>
  </si>
  <si>
    <t>ГВНД ул.Калинина, х.Большой Лог, Аксайский р-н, инв.01-00936</t>
  </si>
  <si>
    <t>ГНД  по ул.Подройкина ст-ца Багаевская Багаевский р-он, инв 01-00424</t>
  </si>
  <si>
    <t>ПГВД п.Реконструктор от ГРС Аксайский до ГРП  Аксайского района,инв.000013673</t>
  </si>
  <si>
    <t>ПНГСД ул.Шолохова,пр.Ленина,пр.Аксайский,г.Аксай,инв.000015424</t>
  </si>
  <si>
    <t>ГСД к котельной КГ-15 Б,г.Гуково,инв.№9-001187</t>
  </si>
  <si>
    <t>Г-ввод пер.Болгарский,33,г.Гуково,стор.</t>
  </si>
  <si>
    <t>Г-ввод ул.2-я Советская,69, г.Гуково, г-е жд ул.Советская,2-я Советская,Гайдара,г.Гуково,аренда</t>
  </si>
  <si>
    <t>Газ-я 1 очереди,ГНД для частного сектора ул.Мусоргского,Халтурина,Пархоменко,47 Гв.Дивизии г.Зверево,аренда</t>
  </si>
  <si>
    <t>ПНГСНД ул.Герцена,ул.Бургустинская,пер.Болгарский,ул.К.Маркса,Некрасова в г.Гуково, инв.000015392</t>
  </si>
  <si>
    <t>ПАО "Газпром газораспределение Ростов-на-Дону" в г.  Батайске</t>
  </si>
  <si>
    <t>Г-ввод ул.Гоголя,12, Батайск, к  г-ду по ул. Гоголя, аренда</t>
  </si>
  <si>
    <t>Г-ввод ул.М.Горького,297Н, храм Батайск, к РГСД по ул. Эстонской  ул. М. Горького, аренда</t>
  </si>
  <si>
    <t>Г-ввод ул.Медовая,17,г.Батайск,стор.</t>
  </si>
  <si>
    <t>Г-ввод ул.Медовая,21,г.Батайск,стор.</t>
  </si>
  <si>
    <t>Г-ввод ул.Ясеневая,26, г.Батайск, стор.</t>
  </si>
  <si>
    <t>ПГНД ул.Кооперативная,44,г.Батайск,инв. 3-030094</t>
  </si>
  <si>
    <t>ПГНД ул.Луначарского,131,г.Батайск, инв.3-030110</t>
  </si>
  <si>
    <t>ПГСД от котельной ЗМЗ по ул. Воровского до котельной МПС  г.Батайск,инв.3-030221</t>
  </si>
  <si>
    <t>ПГСД ул.Ленина,от ул.Матросова,Бекентьева, до К.Цеткин,Совхозная,  г.Батайск,инв.3-030033</t>
  </si>
  <si>
    <t>ПГСНД ул.1-й Пятилетки, ул.Московская от ул. Куйбышева  г.Батайск,3-030052</t>
  </si>
  <si>
    <t>ПНГНД ул.Серова,Авиационная,Халтурина,.Пролетарская г.Батайск, инв.3-030248</t>
  </si>
  <si>
    <t>ПНГНД ул.Станиславского от Луначарского до 1-й Пятилетки,г.Батайск,инв. 3-030159</t>
  </si>
  <si>
    <t xml:space="preserve">ПАО "Газпром газораспределение Ростов-на-Дону" в г. Белая Калитва </t>
  </si>
  <si>
    <t>г-ввод ул.Центральная 82а, п.Сосны Белокалитвинский р-н,стор</t>
  </si>
  <si>
    <t>ГСНД п.Синегорский Белокалитвиснкого района (2 этап) инв. 00-002263</t>
  </si>
  <si>
    <t>Г-вод пер.Путевой 7, г.Белая Калитва .стор</t>
  </si>
  <si>
    <t>Г-ввод ул.Набережная 174 г.Белая Калитва г-д ул.Щад.Набережная.Степная г.Белая Калитва аренда</t>
  </si>
  <si>
    <t>Г-ввод ул.Садовая 2 п.Жирнов Тацинский р-н стор.</t>
  </si>
  <si>
    <t>Г-д п.Сосны, Белокалитвинский р-н инв,4-030197</t>
  </si>
  <si>
    <t>ПАО "Газпром газораспределение Ростов-на-Дону" в г. Волгодонске</t>
  </si>
  <si>
    <t>Г-ввод пер.Лозновский,8, дом 3, г.Волгодонск, стор</t>
  </si>
  <si>
    <t>Г-ввод ул.Манычская,15а,г.Волгодонск, стор</t>
  </si>
  <si>
    <t>ПАО "Газпром газораспределение Ростов-на-Дону" в г. Гуково</t>
  </si>
  <si>
    <t>РГ для газ-и ж.д в гр. ул.Краснова, пер.Азовский, Черноморский в г.Донецк РО, инв.000015618</t>
  </si>
  <si>
    <t>РГ ул.Некрасова, Серафимовича, п.Волгоградский, ул.У.Громовой, п.Клубный г.Донецк РО, инв.000017065</t>
  </si>
  <si>
    <t>РГ х.Макарьев, г.Донецк (1 этап), инв.000015805</t>
  </si>
  <si>
    <t>РГ х.Макарьев, г.Донецк РО (2 этап), инв.000016158</t>
  </si>
  <si>
    <t>ПАО "Газпром газораспределение Ростов-на-Дону" в г. Донецк</t>
  </si>
  <si>
    <t>по мере подключения
 (тех.присоединения) объектов частных домовладений населения,
пост.1314</t>
  </si>
  <si>
    <t>ПАО "Газпром газораспределение Ростов-на-Дону" в г. Зернограде</t>
  </si>
  <si>
    <t>Г-ввод Парковая,2,п.Целина к ГНД ул.Радужная,п.Целина,Целинский р-н,стор.</t>
  </si>
  <si>
    <t>Г-ввод пер.Кольцовский,12 к г-ду МКР п.Кузьминовка,ст.Кагальницкая,Кагальницкий р-н,аренда</t>
  </si>
  <si>
    <t>Г-ввод пер.Молодежный,47б, п.Веселый, Веселовский р-н, стор.</t>
  </si>
  <si>
    <t>Г-ввод ул.Ворошилова,59,ст.Егорлыкская,Егорлыкский р-н,стор.</t>
  </si>
  <si>
    <t>Г-ввод ул.Механизаторов,10, кв.3 к ГНД п.Юловский, Целинский р-н</t>
  </si>
  <si>
    <t>Г-ввод ул.Новостройки,13,ст.Кировская, Кагальницкий р-н, стор.</t>
  </si>
  <si>
    <t>Г-ввод ул.Ореховая,9 к РПГНД ул.Ореховая, г.Зерноград, стор.</t>
  </si>
  <si>
    <t>Г-ввод ул.Парковая,43, к ГНД ул.Парковая,х.Ильинский,Егорлыкский р-н,стор.</t>
  </si>
  <si>
    <t>Г-ввод ул.Речная,42, ГСНД перех.через р.Кагальник к п.Лиман,ст.Кагальницкая,Кагальницкий р-н,аренда</t>
  </si>
  <si>
    <t>Г-ввод ул.Садовая,20,22,24,26, ст.Сладкая Балка,Целинский р-н,стор.</t>
  </si>
  <si>
    <t>Г-ввод ул.Строителей, 47, г.Зерноград к ПГНД ул.Строителей,47, г.Зерноград, аренда</t>
  </si>
  <si>
    <t>ГНД ул.Заполосная, п.Первомайский, Зерноградский р-н, инв.15-50198</t>
  </si>
  <si>
    <t>ГНД ул.Ленина,ст.Кировская,Кагальницкий р-н, инв.000014081</t>
  </si>
  <si>
    <t>ГНД ул.Мира, х.Иваново-Шамшево, Кагальницкий район, инв.15-48050</t>
  </si>
  <si>
    <t>ГНД ул.Мичурина,48 г. Зерноград, Зерноградский р-н, инв.000014111</t>
  </si>
  <si>
    <t>ГНД ул.Олимпийская, ст. Кировская, Кагальницкий район, инв 000014070</t>
  </si>
  <si>
    <t>ГПНД от № 62 до № 98 ул.Лазо, г.Зерноград, инв.15-47967</t>
  </si>
  <si>
    <t>ГПНД от ШРП №1,2,3,4 с.Степное,Целинского р-на, инв.15-70263</t>
  </si>
  <si>
    <t>ГПНД пер.Пионерский, 33/36-25/9, ст.Кагальницкая,Кагальницкий р-н, инв.15-45486</t>
  </si>
  <si>
    <t>ГПНД ул.Вокзальная, ст.Кагальницкая, Кагальницкий р-н,инв.15-45464</t>
  </si>
  <si>
    <t>ГПНД ул.Гайдара,Северная,г.Зерноград, инв.15-45671</t>
  </si>
  <si>
    <t>ГПНД ул.Петровская,ст.Егорлыкская,Егорлыкский р-н,инв.15-70190</t>
  </si>
  <si>
    <t>ГПНД ул.Речная, ст Мечетинская,Зерноградский район, инв.15-45502</t>
  </si>
  <si>
    <t>ГСНД ул.Дзержинского,г.Зерноград,инв.000016169</t>
  </si>
  <si>
    <t>ПГНД ул.Заводская от загл.до вост.окраины, Егорлыкский р-н, инв. 15-03058</t>
  </si>
  <si>
    <t>ПГНД ул.Калинина,Октябрьский,Социалистический,ст.Кагальницкая,Кагальницкий р-н, инв.15-45693</t>
  </si>
  <si>
    <t>ПНГНД пер.Первомай,ул.Орджоник,Войкова,Грицика,ст.Егорлыкская, Егорлыкский р-н,инв.15-03004</t>
  </si>
  <si>
    <t>ПНГНД ул.Зерноградская,Косар,Ввозного,пер.Николь,ул.Береста,п.Дубки,Зерноградский р-н, инв.000016232</t>
  </si>
  <si>
    <t>Г-ввод ул.Школьная,114 х.Терновой Миллеровский р-он , стор.</t>
  </si>
  <si>
    <t>Г-ввод ул.Байдукова,1,.Миллерово,к НГ ул.Байдукова,2-8,Толстого,Гаврилова,г.Миллерово,аренда</t>
  </si>
  <si>
    <t>Г-ввод ул.М.Жукова,36, сл.Кашары,Кашарский р-н,стор.</t>
  </si>
  <si>
    <t>ГВСНД с ГРПШ ул.Гагарина,Вокзальная,г.Миллерово,инв.000013501</t>
  </si>
  <si>
    <t>ПАО "Газпром газораспределение Ростов-на-Дону" в г. Миллерово</t>
  </si>
  <si>
    <t>Г-ввод  ул. Грекова 16 кв 1 х Костино-Быстрянский Морозовского р-н</t>
  </si>
  <si>
    <t>Г-ввод ул. Комсомольская 28  ст Милютинская Милютинскйи р-н</t>
  </si>
  <si>
    <t>ПАО "Газпром газораспределение Ростов-на-Дону" в г.Морозовске</t>
  </si>
  <si>
    <t>ПАО "Газпром газораспределение Ростов-на-Дону" в г. Сальске</t>
  </si>
  <si>
    <t>ПАО "Газпром газораспределение Ростов-на-Дону" в г.  Семикаракорске</t>
  </si>
  <si>
    <t>ПАО "Газпром газораспределение Ростов-на-Дону" в г. Таганроге</t>
  </si>
  <si>
    <t>Г-ввод 1300 км.СКЖД,снт Приморье,уч-к 317, Неклиновский р-н,стор.</t>
  </si>
  <si>
    <t>Г-ввод 30 переулок,21-А,г.Таганрог,стор.</t>
  </si>
  <si>
    <t>Г-ввод Авангард сад,42,с.Вареновка,Неклиновский р-н,стор.</t>
  </si>
  <si>
    <t>Г-ввод ДНТ Металлург-1,365, с.Николаевка,Неклиновский р-н,стор.</t>
  </si>
  <si>
    <t>Г-ввод ДНТ Полет,59,с.Николаевка,Неклиновский р-н, сто.</t>
  </si>
  <si>
    <t>Г-ввод ДСК Сигма,25,с.Николаевка,Неклиновский р-н,стор.</t>
  </si>
  <si>
    <t>Г-ввод Мариупольское шоссе,40-1,СНТ Работник просвещения, уч-к 292, г.Таганрог,стор.</t>
  </si>
  <si>
    <t>Г-ввод Металлург-2 сад,245,ВНГ ул.Мирн1,ШГРП-3,с.Бессергеновка,Неклиновский р-н</t>
  </si>
  <si>
    <t>Г-ввод НДТ Мичуринец-1, М 61, Николаевское шоссе,7-м, г.Таганрог, стор.</t>
  </si>
  <si>
    <t>Г-ввод НДТ Мичуринец-1,А-82,г.Таганрог,стор.</t>
  </si>
  <si>
    <t>Г-ввод НДТ Мичуринец-1,Т-25, г.Таганрог,стор.</t>
  </si>
  <si>
    <t>Г-ввод Николаевское шоссе,19-1,ДНТ Весна,уч-к 2,г.Таганрог,стор.</t>
  </si>
  <si>
    <t>Г-ввод Николаевское шоссе,7а,аллея 17, уч-к 26, г.Таганрог,стор.</t>
  </si>
  <si>
    <t>Г-ввод пер.16-й Мариупольский,18/ул.Бериева,12, г.Таганрог,стор.</t>
  </si>
  <si>
    <t>Г-ввод пер.Восточный,4а,с.Николаевка ВНГ АГРС Троиц1,Луг,Лен,Фрун,с.Никол,с.Гаевка,Неклин.р-н,аренда</t>
  </si>
  <si>
    <t>Г-ввод пер.Комсомольский,19-1,г.Таганрог,ГНДА.Глушко,г.Таганрог,аренда</t>
  </si>
  <si>
    <t>Г-ввод пер.Криничный,4а,с.Троицкое,ПГ Кошкино,АГРС,Неклиновский р-н,аренда</t>
  </si>
  <si>
    <t>Г-ввод пер.Некрасова,7а,с.Синявское,ВНГ с.Никол,Гаевка,Неклиновский р-н,аренда</t>
  </si>
  <si>
    <t>Г-ввод пер.Украинский,17,кв.1,с.Покровское,Неклиновский р-н,стор</t>
  </si>
  <si>
    <t>Г-ввод пр-зд Межлумяна,14,г.Таганрог,стор.</t>
  </si>
  <si>
    <t>Г-ввод с/т Коммунальник,116,с.Николаевка,Неклиновский р-н,стор.</t>
  </si>
  <si>
    <t>Г-ввод с/т Парус,9, с.Николаевка,ВНГ с.Никол,Гаевка,Неклиновский р-н,аренда</t>
  </si>
  <si>
    <t>Г-ввод СНТ Дачное-1,аллея,9, уч-к 79, г.Таганрог,стор.</t>
  </si>
  <si>
    <t>Г-ввод ул.Айвазовского,26, г.Таганрог, стор.</t>
  </si>
  <si>
    <t>Г-ввод ул.Алексея Береста,43,с.Покровское,Неклиновский р-н,стор.</t>
  </si>
  <si>
    <t>Г-ввод ул.Березовая,23,с.Покровское,Неклиновский р-н,стор.</t>
  </si>
  <si>
    <t>Г-ввод ул.Гоголя,6и,с.Николаевка,Неклиновский р-н,стор.</t>
  </si>
  <si>
    <t>Г-ввод ул.Западная,32,с.Самбек,ПГ с.Самбек,ул.Центр,Морск,Подг,Неклиновский р-н,аренда</t>
  </si>
  <si>
    <t>Г-ввод ул.Межевая,9,Николаевка,Неклиновский р-н,стор.</t>
  </si>
  <si>
    <t>Г-ввод ул.Молодежная,21,с.Алексеевка,Неклиновский р-н,стор.</t>
  </si>
  <si>
    <t>Г-ввод ул.Набережная,17А,х.Грузиновка,Неклиновский р-н, стор.</t>
  </si>
  <si>
    <t>Г-ввод ул.Первомайская,53,с.Куйбышево,к ГСД Первом-Куйбышевская,Неклиновский р-н</t>
  </si>
  <si>
    <t>Г-ввод ул.Ромазанова,19, г.Таганрог,стор.</t>
  </si>
  <si>
    <t>Г-ввод ул.Сельхозтехники,1А,с.Покровское,Неклиновский р-н,стор.</t>
  </si>
  <si>
    <t>Г-ввод ул.Солнечная,27,с.Новобессергеновка,Неклиновский р-н,стор.</t>
  </si>
  <si>
    <t>Г-ввод ул.Солнечная,29,с.Новобессергеновка,Неклиновский р-н,стор.</t>
  </si>
  <si>
    <t>Г-ввод ул.Солнечная,31,с.Новобессергеновка,Неклиновский р-н,стор.</t>
  </si>
  <si>
    <t>Г-ввод ул.Социалистическая,150-4,бокс 150, г.Таганрог,стор.</t>
  </si>
  <si>
    <t>31.09.2018</t>
  </si>
  <si>
    <t>30.05.20158</t>
  </si>
  <si>
    <t xml:space="preserve">ПАО "Газпром газораспределение Ростов-на-Дону" в с. Чалтырь </t>
  </si>
  <si>
    <t>Г-ввод ул.Весенняя, 12, с.Чалтырь, Мясниковский р-н, стор.</t>
  </si>
  <si>
    <t>Г-ввод ул.Ереванская, 10/1, х.Ленинаван, Мясниковский р-н, стор.</t>
  </si>
  <si>
    <t>Г-ввод ул.Луговая, 39. ДНП Поселок «Озерный», Мясниковский р-н, стор.</t>
  </si>
  <si>
    <t>Г-ввод ул.Лукашина, 18б, с.Чалтырь, Мясниковский р-н, стор</t>
  </si>
  <si>
    <t>Г-ввод ул.Свободы, 25, х.Красный Крым, Мясниковский р-н, стор.</t>
  </si>
  <si>
    <t>ГВНД ул.Орджоникидзе, х.Ленинаван, Мясниковский р-н, инв 00-0666</t>
  </si>
  <si>
    <t>ГНД ул.Абовяна,Ленина, Баграмяна, с.Большие Салы, Мясниковский р-н, инв 22-00489</t>
  </si>
  <si>
    <t>ГНД ул.Заречная, х.Павленков, Родионово-Несветайский район,инв23-00118</t>
  </si>
  <si>
    <t>ПАО "Газпром газораспределение Ростов-на-Дону" в сл.Родионово-Несветайской</t>
  </si>
  <si>
    <t>Г-ввод ДОСЛ-4 Мичуринец,уч-к 283, г.Новочеркасск,стор.</t>
  </si>
  <si>
    <t>Г-ввод пер.Заветный,50, СТ 11,ул.Пятая,г.Новочеркасск, стор.</t>
  </si>
  <si>
    <t>Г-ввод пер.Победный,7а,г.Новочеркасск к РГНД пер.Победный,г.Новочеркасск,аренда</t>
  </si>
  <si>
    <t>Г-ввод пер.Спасский,64,г.Новочеркасск,стор.</t>
  </si>
  <si>
    <t>Г-ввод пр.Баклановский,134А,г.Новочеркасск,стор.</t>
  </si>
  <si>
    <t>Г-ввод пр.Платовский,77,г.Новочеркасск,РГНД ул.Михайловская,г.Новочеркасск,аренда</t>
  </si>
  <si>
    <t>Г-ввод СТ № 3 Мелиоратор, уч-к 133, г.Новочеркасск, стор.</t>
  </si>
  <si>
    <t>Г-ввод СТ Донские зори НЗСП № 473, г.Новочеркасск,стор.</t>
  </si>
  <si>
    <t>Г-ввод ул.4-я Жасминная, уч-к 105, СНТ № 7, г.Новочеркасск, стор</t>
  </si>
  <si>
    <t>Г-ввод ул.Железнодорожная,73,г.Новочеркасск,стор.</t>
  </si>
  <si>
    <t>Г-ввод ул.Желябова,136/пер.Западный,36,г.Новочеркасск,стор.</t>
  </si>
  <si>
    <t>Г-ввод ул.Заводская,84, ст.№ 16, г.Новочеркасск, стор.</t>
  </si>
  <si>
    <t>Г-ввод ул.Казачья,34а,г.Новочеркасск,РГНД ул.Казачья,г.Новочеркасск,аренда</t>
  </si>
  <si>
    <t>Г-ввод ул.Мостовая, уч.21, СТ № 11, г.Новочеркасск, стор.</t>
  </si>
  <si>
    <t>Г-ввод ул.Ольховая,26,г.Новочеркасск,стор.</t>
  </si>
  <si>
    <t>Г-ввод ул.Петрова,3а,г.Новочеркасск,стор.</t>
  </si>
  <si>
    <t>Г-ввод ул.Петровская,14,г.Новочеркасск,стор.</t>
  </si>
  <si>
    <t>Г-ввод ул.Сарматская,46,г.Новочеркасск,стор.</t>
  </si>
  <si>
    <t>Г-ввод ул.Школьная,14, г.Новочеркасск,РГНД ул.Школьная,г.Новочеркасск,аренда</t>
  </si>
  <si>
    <t>ГСНД в гр.п.Братский, ул.Астраханск, п.Тимирязева,ул.Нечаева п.Татарка г.Новочеркасск, инв.000014705</t>
  </si>
  <si>
    <t>Г-ввод ул.Первая,33,Лит.А,ДОСЛ №4 Мичуринец, г.Новочеркасск к г-ду ул.Ященко, г.Новочеркасск, аренда</t>
  </si>
  <si>
    <t>Г-ввод ул.Первая,33,Лит.Б,ДОСЛ №4 Мичуринец, г.Новочеркасск к г-ду ул.Ященко, г.Новочеркасск, аренда</t>
  </si>
  <si>
    <t>Г-ввод ул.Транспортная,2-д,г.Новочеркасск к РГ ул.Транспортная, г.Новочеркасск, аренда</t>
  </si>
  <si>
    <t>ПАО "Газпром газораспределение Ростов-на-Дону" в г.Новочеркасске</t>
  </si>
  <si>
    <t>ПАО "Газпром газораспределение Ростов-на-Дону" в г. Шахты</t>
  </si>
  <si>
    <t xml:space="preserve">Г-ввод пер.Музыкальный,26,г.Шахты РГНД ул.Антрацитовая, г.Шахты, </t>
  </si>
  <si>
    <t>02.10.2017</t>
  </si>
  <si>
    <t>01.10.2018</t>
  </si>
  <si>
    <t>20.10.2017</t>
  </si>
  <si>
    <t>19.10.2018</t>
  </si>
  <si>
    <t>03.10.2017</t>
  </si>
  <si>
    <t>02.10.2018</t>
  </si>
  <si>
    <t>19.10.2017</t>
  </si>
  <si>
    <t>18.10.2018</t>
  </si>
  <si>
    <t>18.10.2017</t>
  </si>
  <si>
    <t>17.10.2018</t>
  </si>
  <si>
    <t>04.10.2017</t>
  </si>
  <si>
    <t>03.10.2018</t>
  </si>
  <si>
    <t>09.10.2018</t>
  </si>
  <si>
    <t>16.10.2017</t>
  </si>
  <si>
    <t>15.10.2018</t>
  </si>
  <si>
    <t>12.04.2017</t>
  </si>
  <si>
    <t>11.10.2018</t>
  </si>
  <si>
    <t>РГНД ул.Катаева 129-161, Заломова 15-25, г.Шахты, аренда</t>
  </si>
  <si>
    <t>Г-ввод ул.Могилевская,43, кв. 14,г.Шахты,</t>
  </si>
  <si>
    <t>Г-ввд ул.6-я улица,1а, СНТ Донподход, к ПГНД по тер.СНТ Донподход, г.Ростов-на-Дону, стор.</t>
  </si>
  <si>
    <t>Г-ввод ДНТ Исток,276, г.Ростов-на-Дону,стор.</t>
  </si>
  <si>
    <t>Г-ввод ДНТ Мечта,126, г.Ростов-на-Дону, стор.</t>
  </si>
  <si>
    <t>Г-ввод ДНТ Победа,97,г.Ростов-на-Дону,стор.</t>
  </si>
  <si>
    <t>Г-ввод ДНТ Садовод-Любитель,Л-41а, г.Ростов-на-Дону,стор.</t>
  </si>
  <si>
    <t>Г-ввод ДНТ Утро,113,г.Ростов-на-Дону,стор.</t>
  </si>
  <si>
    <t>Г-ввод ДНТ Утро,14,г.Ростов-на-Дону,стор.</t>
  </si>
  <si>
    <t>Г-ввод ДНТ Утро,175,г.Ростов-на-Дону,стор.</t>
  </si>
  <si>
    <t>Г-ввод ДНТ Утро,18,г.Ростов-на-Дону,стор.</t>
  </si>
  <si>
    <t>Г-ввод ДНТ Утро,205,г.Ростов-на-Дону,стор.</t>
  </si>
  <si>
    <t>Г-ввод ДНТ Утро,228,г.Ростов-на-Дону,стор.</t>
  </si>
  <si>
    <t>Г-ввод ДНТ Утро,232,г.Ростов-на-Дону,стор.</t>
  </si>
  <si>
    <t>Г-ввод ДНТ Утро,45,г.Ростов-на-Дону,стор.</t>
  </si>
  <si>
    <t>Г-ввод ДНТ Утро,63,г.Ростов-на-Дону,стор.</t>
  </si>
  <si>
    <t>Г-ввод м/у СНТ Женьшень и ДНТ Темерник к ПГНД по тер.СНТ Ручеек, г.Ростов-на-Дону, стор.</t>
  </si>
  <si>
    <t>Г-ввод НСТ Дружба, г,Ростов-на-Дону, к СГНД внутри квартала Дружба, г.Ростов-на-Дону, стор.</t>
  </si>
  <si>
    <t>Г-ввод пер 9-й Лазоревый,62, г.Ростов-на-Дону, к ПГНД пер. 9-й Лазоревый, г.Ростов-на-Дону, стор.</t>
  </si>
  <si>
    <t>Г-ввод пер.1-й Берестяной,19,уч.111, ДНТ Утро, г.Ростов-на-Дону, стор.</t>
  </si>
  <si>
    <t>Г-ввод пер.1-й Берестяной,42,уч.138, ДНТ Утро, г.Ростов-на-Дону, ГНД ДНТ Утро, г.Ростов-на-Дону,стор</t>
  </si>
  <si>
    <t>Г-ввод пер.1-й Берестяной,46,уч.136, ДНТ Утро, г.Ростов-на-Дону, стор.</t>
  </si>
  <si>
    <t>Г-ввод пер.1-й Берестяной,уч.110, ДНТ Утро, г.Ростов-на-Дону, ГНД ДНТ Утро, г.Ростов-на-Дону,стор</t>
  </si>
  <si>
    <t>Г-ввод пер.1-й Берестяной,уч.132, ДНТ Утро,54, г.Ростов-на-Дону, стор.</t>
  </si>
  <si>
    <t>Г-ввод пер.1-й Берестяной,уч.141, ДНТ Утро, г.Ростов-на-Дону, ГНД ДНТ Утро, г.Ростов-на-Дону,стор</t>
  </si>
  <si>
    <t>Г-ввод пер.1-й Берестяной,уч.73, ДНТ Утро,85, г.Ростов-на-Дону, стор.</t>
  </si>
  <si>
    <t>Г-ввод пер.1-й Кольский,8а,г.Ростов-на-Дону к ПГНД по ул.1-й Кольский,г.Ростов-на-Дону,аренда</t>
  </si>
  <si>
    <t>Г-ввод пер.2-й Берестяной,121, ДНТ Утро,187, г.Ростов-на-Дону,стор</t>
  </si>
  <si>
    <t>Г-ввод пер.2-й Берестяной,224,ДНТ Утро, г.Ростов-на-Дону, ГНД ДНТ Утро, г.Ростов-на-Дону,стор</t>
  </si>
  <si>
    <t>Г-ввод пер.2-й Берестяной,57,уч.169, ДНТ Утро, г.Ростов-на-Дону, ГНД ДНТ Утро, г.Ростов-на-Дону,стор</t>
  </si>
  <si>
    <t>Г-ввод пер.2-й Берестяной,84, ДНТ Утро,198, г.Ростов-на-Дону, ГНД ДНТ Утро, г.Ростов-на-Дону,стор</t>
  </si>
  <si>
    <t>Г-ввод пер.2-й Берестяной,уч.184, ДНТ Утро, г.Ростов-на-Дону, ГНД ДНТ Утро, г.Ростов-на-Дону,стор</t>
  </si>
  <si>
    <t>Г-ввод пер.2-й Лазоревый,37, СТ Урожай, 2-37, г.Ростов-на-Дону,стор.</t>
  </si>
  <si>
    <t>Г-ввод пер.2-й Мужественный,10 ст Вива Виктория,37, г.Ростов-на-Дону, стор.</t>
  </si>
  <si>
    <t>Г-ввод пер.2-й переулок,115, г.Ростов-на-Дону, к ГНД пер. 2-й, г.Ростов-на-Дону,аренда</t>
  </si>
  <si>
    <t>Г-ввод пер.2-й Поклонный,12 снт Союз,485, г.Ростов-на-Дону, стор.</t>
  </si>
  <si>
    <t>Г-ввод пер.2-й Рядовой,20А,ДНТ "Победа" г. Ростов-на-Дону,астор.</t>
  </si>
  <si>
    <t>Г-ввод пер.2-й Черкасский,3, г.Ростов-на-Дону к ПГНД по тер. "Алмаз", аренда</t>
  </si>
  <si>
    <t>Г-ввод пер.3-й Берестяной,61,уч.252, ДНТ Утро, г.Ростов-на-Дону, ГНД ДНТ Утро, г.Ростов-на-Дону,стор</t>
  </si>
  <si>
    <t>Г-ввод пер.3-й Берестяной,67,уч.249, ДНТ Утро, г.Ростов-на-Дону, ДНТ Утро,стор</t>
  </si>
  <si>
    <t>Г-ввод пер.3-й Берестяной,68,уч.293, ДНТ Утро, г.Ростов-на-Дону, ДНТ Утро,стор</t>
  </si>
  <si>
    <t>Г-ввод пер.3-й Берестяной,уч.269, ДНТ Утро, г.Ростов-на-Дону, ГНД ДНТ Утро, г.Ростов-на-Дону,стор</t>
  </si>
  <si>
    <t>Г-ввод пер.3-й Бронзовый,4, г.Ростов-на-Дону,стор.</t>
  </si>
  <si>
    <t>Г-ввод пер.3-й Лазоревый,19а,г.Ростов-на-Дону к ПГНД пер.3-й Лазоревый,г.Ростов-на-Дону,стор.</t>
  </si>
  <si>
    <t>Г-ввод пер.3-й Лазоревый,23, г.Ростов-на-Дону к ПГНД по тер. СНТ "Урожай", г. Ростов-на-Дон</t>
  </si>
  <si>
    <t>Г-ввод пер.4-й Берестяной,13,уч.364, ДНТ Утро, г.Ростов-на-Дону, стор.</t>
  </si>
  <si>
    <t>Г-ввод пер.4-й Берестяной,45,уч.348, ДНТ Утро, г.Ростов-на-Дону,стор.</t>
  </si>
  <si>
    <t>Г-ввод пер.4-й Берестяной,61,уч.340, ДНТ Утро, г.Ростов-на-Дону,стор.</t>
  </si>
  <si>
    <t>Г-ввод пер.4-й Кустарный,1,ДНТ Утро,16,г.Ростов-на-Дону,стор.</t>
  </si>
  <si>
    <t>Г-ввод пер.4-й Кустарный,19,ДНТ Утро, г.Ростов-на-Дону,стор.</t>
  </si>
  <si>
    <t>Г-ввод пер.5-й Желанный,18, днт Садовод-Любитель,г.Ростов-на-Дону,стор.</t>
  </si>
  <si>
    <t>Г-ввод пер.5-й Кустарный,12,уч 35, ДНТ Утро,г.Ростов-на-Дону, к ГНД ДНТ Утро, г.Ростов-на-Дону,стор.</t>
  </si>
  <si>
    <t>Г-ввод пер.5-й Кустарный,12,уч 82, ДНТ Утро,г.Ростов-на-Дону, к ГНД ДНТ Утро, г.Ростов-на-Дону,стор.</t>
  </si>
  <si>
    <t>Г-ввод пер.5-й Кустарный,31,ДНТ Утро,42,г.Ростов-на-Дону,стор.</t>
  </si>
  <si>
    <t>Г-ввод пер.5-й Кустарный,37,уч 39, ДНТ Утро,г.Ростов-на-Дону, к ГНД ДНТ Утро, г.Ростов-на-Дону,стор.</t>
  </si>
  <si>
    <t>Г-ввод пер.5-й Кустарный,45,уч 35, ДНТ Утро,г.Ростов-на-Дону, стор.</t>
  </si>
  <si>
    <t>Г-ввод пер.5-й Кустарный,49,уч 33, ДНТ Утро,г.Ростов-на-Дону, к ГНД ДНТ Утро, г.Ростов-на-Дону,стор.</t>
  </si>
  <si>
    <t>Г-ввод пер.5-й Кустарный,56,ДНТ Утро,56,г.Ростов-на-Дону,стор.</t>
  </si>
  <si>
    <t>Г-ввод пер.5-й Кустарный,57,уч 29, ДНТ Утро,г.Ростов-на-Дону, к ГНД ДНТ Утро, г.Ростов-на-Дону,стор.</t>
  </si>
  <si>
    <t>Г-ввод пер.5-й Кустарный,уч 370, ДНТ Утро,г.Ростов-на-Дону, к ГНД ДНТ Утро, г.Ростов-на-Дону,стор.</t>
  </si>
  <si>
    <t>Г-ввод пер.5-й Лазоревый, 90, г.Ростов-на-Дону, к ПГНД по тер. СНТ Урожай, г.Ростов-на-Дону, стор.</t>
  </si>
  <si>
    <t>Г-ввод пер.5-й Поселковый,18,г.Ростов-на-Дону,ПГНД пер.Аэроклуб.г.Ростов-на-Дону,аренда</t>
  </si>
  <si>
    <t>Г-ввод пер.5-й Санинструкторский,6, г.Ростов-на-Дону,к ПГНД пер.5-й Саниструкторский,аренда</t>
  </si>
  <si>
    <t>Г-ввод пер.6-й Касательный,6,г.Ростов-на-Дону,стор.</t>
  </si>
  <si>
    <t>Г-ввод пер.6-й Лазоревый,11, г.Ростов-на-Дону,стор.</t>
  </si>
  <si>
    <t>Г-ввод пер.8-й Лазоревый,51А,г.Ростов-на-Дону,стор.</t>
  </si>
  <si>
    <t>Г-ввод пер.9-й Лазоревый,7/36, г.Ростов-на-Дону, стор.</t>
  </si>
  <si>
    <t>Г-ввод пер.Аэроклубовский,63, г.Ростов-на-Дону, к ПГНД пер.Аэроклубовский, г.Ростов-на-Дону,аренда</t>
  </si>
  <si>
    <t>Г-ввод пер.Беломорский,98,г.Ростов-на-Дону,стор.</t>
  </si>
  <si>
    <t>Г-ввод пер.Беспалого,9,г.Ростов-на-Дону,стор.</t>
  </si>
  <si>
    <t>Г-ввод пер.Денисова,42А, г.Ростов-на-Дону,стор.</t>
  </si>
  <si>
    <t>Г-ввод пер.Джамбульский,1/52,г.Ростов-на-дону РГСД пер.Джамбуль,г.Ростов-на-Дону,аренда</t>
  </si>
  <si>
    <t>Г-ввод пер.Долевой,2г,г.Ростов-на-Дону к ГНД по пер.Долевой,г.Ростов-на-Дону,аренда</t>
  </si>
  <si>
    <t>Г-ввод пер.Донецкий,18а,г.Ростов-на-Дону к ГНД по пер.Донецкий,г.Ростов-на-Дону,аренда</t>
  </si>
  <si>
    <t>Г-ввод пер.Дунаевского,10, г.Ростов-на-Дону к ПГНД пер.Дунаевского,г.Ростов-на-Дону,аренда</t>
  </si>
  <si>
    <t>Г-ввод пер.Каляевский,15А, г.Ростов-на-Дону к ГНД по пер.Каляевский, аренда</t>
  </si>
  <si>
    <t>Г-ввод пер.Кр.Партизан,55, г.Ростов-на-Дону к НГНД по пер.Кр.Партизан, аренда</t>
  </si>
  <si>
    <t>Г-ввод пер.Лазоревый,3, ст. Урожай,уч-к 10-03, г.Ростов-на-Дону, стор.</t>
  </si>
  <si>
    <t>Г-ввод пер.Лосиный,26/117, ст Вива Виктория,66, г.Ростов-на-Дону,стор.</t>
  </si>
  <si>
    <t>Г-ввод пер.Марксистский,42, г.Ростов-на-Дону,ПГНД пер.Марксисткий,г.Ростов-на-Дону,аренда</t>
  </si>
  <si>
    <t>Г-ввод пер.Молодогвардейский,70Б,г.Ростов-на-Дону г.ГСД пер.Молодогвардейский,г.Ростов-на,аренда</t>
  </si>
  <si>
    <t>Г-ввод пер.Небесный,16а,п.Верхнетемерницкий,Аксайский р-н, стор.</t>
  </si>
  <si>
    <t>Г-ввод пер.Несветайский,6А,г.Ростов-на-Дону, к ГНД ул.Зявкина,г.Ростов-на-Дону,аренда</t>
  </si>
  <si>
    <t>Г-ввод пер.Орджоникидзе,1б, г.Ростов-на-Дону,к ПГНД пер.Орджоникидзе,г.Ростов-на-Дону,аренда</t>
  </si>
  <si>
    <t>Г-ввод пер.Расковой,20,г.Ростов-на-Дону к ГНД по пер.Расковой, аренда</t>
  </si>
  <si>
    <t>Г-ввод пер.Саперный,28,г.Ростов-на-Дону,стор.</t>
  </si>
  <si>
    <t>Г-ввод пер.Свекольный,19а к ПГНД по тер.ДНТ Садовод-Любитель,г.Ростов-на-Дону, стор.</t>
  </si>
  <si>
    <t>Г-ввод пер.Семашко,21А/58Б,г.Ростов-на-Дону, к ПГНД ул.Темерницкая,г.Ростов-на-Дону,аренда</t>
  </si>
  <si>
    <t>Г-ввод пер.Соборный,24,г.Ростов-на-Дону,стор.</t>
  </si>
  <si>
    <t>Г-ввод пер.Созвездия,29, п.Верхнетемерницкий,Аксайский р-н, стор.</t>
  </si>
  <si>
    <t>Г-ввод пер.Сорокина,6,г.Ростов-на-Дону к ГСД по пер.Сорокина,Ростов-на-Дону, аренда</t>
  </si>
  <si>
    <t>Г-ввод пер.Строевой,40а, г.Ростов-на-Дону, к ГНД СНТ Авангард-3, г.Ростов-на-Дону, стор.</t>
  </si>
  <si>
    <t>Г-ввод пер.Третьякова,6, г.Ростов-на-Дону, к ПГНД ул.Шостаковича,г.Ростов-на-Дону, стор.</t>
  </si>
  <si>
    <t>Г-ввод пер.Тувинский,49г,г.Ростов-на-Дону к ГНД по пер.Дзержинского, аренда</t>
  </si>
  <si>
    <t>Г-ввод пер.Фруктовый,10/36,г.Ростов-на-Дону,к ПГНД ул.Калитвенская,2-й Пятилетки,Ростов-на-Дону,арен</t>
  </si>
  <si>
    <t>Г-ввод пер.Ярошенко,13, к ПГНД по пер.Ярошенко,г.Ростов-на-Дону, аренда</t>
  </si>
  <si>
    <t>Г-ввод пл. Рыбака,1,г.Ростов-на-Дону к ГНД по пл. Рыбака, аренда</t>
  </si>
  <si>
    <t>Г-ввод пр-д Дмитриевский,12/32,п.Темерницкий,Аксайский р-н, стор.</t>
  </si>
  <si>
    <t>Г-ввод пр-д Михайловский,12/19, п.Темерницкий к ПГНД ДНТ "Ореховая Роща",Аксайский р-н, аренда</t>
  </si>
  <si>
    <t>Г-ввод пр-езд Тихий,5,п.Темерницкий,Аксайскийр-н, стор.</t>
  </si>
  <si>
    <t>Г-ввод пр-зд 1-й Тверской,73,п.Темерницкий,Аксайский р-н,стор.</t>
  </si>
  <si>
    <t>Г-ввод пр-зд Видный,38/41, п.Темерницкий,Аксайский р-н,стор.</t>
  </si>
  <si>
    <t>Г-ввод пр-зд Прохладный,6Б, п.Темерницкий,Аксайский р-н,стор.</t>
  </si>
  <si>
    <t>Г-ввод пр-кт 40-летия Победы,59,г.Ростов-на-Дону к ПГНД по пр-кт 40-лет Поб,Ростов-на-Дону, аренда</t>
  </si>
  <si>
    <t>Г-ввод пр-кт 40-летия Победы,73/18г.Ростов-на-Дону к РГНД по пр-кт 40-лет Поб,Ростов-на-Дону, аренда</t>
  </si>
  <si>
    <t>Г-ввод пр. Михайловский, кн.61:02:06000056:4361, п. Темерницкий, Аксайский р,стор.</t>
  </si>
  <si>
    <t>Г-ввод пр.1-й Тверской,75,п.Темерницкий,к ПГНД по пр.1-й Тверской,п.Темерницкий,Аксайский р-н,стор.</t>
  </si>
  <si>
    <t>Г-ввод пр.40 лет Победы,55ж,г.Ростов-на-Дону г.ГСД пр.40 лет Победы,ж.д.55,57,53а,57аг.Ростов,аренда</t>
  </si>
  <si>
    <t>Г-ввод пр.40 летия Победы,320/2, г.Ростов-на-Дону,НГНД пр.40-летия Победы,аренад</t>
  </si>
  <si>
    <t>Г-ввод пр.Кировский,98,г.Ростов-на-Дону к ГСД по пр. Кировский,г.Ростов-на-Дону,аренда</t>
  </si>
  <si>
    <t>Г-ввод пр.Маршала Жукова,35/8, к.н. 61:44:000000:0996, г.Ростов-на-Дону,ПГСД ул.Доватора,аренда</t>
  </si>
  <si>
    <t>Г-ввод пр.Стачки,114,г.Ростов-на-Дону,стор.</t>
  </si>
  <si>
    <t>Г-ввод пр.Стачки,124,г.Ростов-на-Дону к ПГНД ул.4-я Кольцевая,г.Ростов-на-Дону,аренда</t>
  </si>
  <si>
    <t>Г-ввод пр.Стачки,199,203 г.Ростов-на-Дону к ПГНД пр.Стачки, г.Ростов-на-Дону, аренда</t>
  </si>
  <si>
    <t>Г-ввод пр.Стачки,257А, г.Ростов-на-Дону к ПГСД пр.Стачки, г.Ростов-на-Дону,аренда</t>
  </si>
  <si>
    <t>Г-ввод пр.Стачки,318,г.Ростов-на-Дону, к ПГСД пр.Стачки,г,Ростов-на-Дону,аренда</t>
  </si>
  <si>
    <t>Г-ввод пр.Удачный,8, п. Темерницкий,Аксайский р, стор.</t>
  </si>
  <si>
    <t>Г-ввод проезд Изобильный,8,п. Темерницкий, к ПГНД по проезду Изобильный, п. Темерницкий,Аксайский р,</t>
  </si>
  <si>
    <t>Г-ввод р-н комплекса Ростовской таможни.вдоль п.Водопадный,Аксайский р-н,аренда</t>
  </si>
  <si>
    <t>Г-ввод с/т Задонье,609, г.Ростов-на-Дону, к ГНД с/т Задонье, г.Ростов-на-Дону, стор.</t>
  </si>
  <si>
    <t>Г-ввод СНТ Браство,1241,г.Ростов-на-Дону,стор.</t>
  </si>
  <si>
    <t>Г-ввод снт Братство,1353, г.Ростов-на-Дону,стор.</t>
  </si>
  <si>
    <t>г-ввод СНТ Братство,452, г.Ростов-на-Дону, к ПГНД по тер.СНТ Братство, г.Ростов-на-Дону, стор.</t>
  </si>
  <si>
    <t>Г-ввод СНТ Братство,669, г.Ростов-на-Дону,стор.</t>
  </si>
  <si>
    <t>Г-ввод СНТ Дон,10а, г.Ростов-на-Дону, к ГНД по тер.СНТ Дон, г.Ростов-на-Дону, стор.</t>
  </si>
  <si>
    <t>Г-ввод снт Женьшень,35, г.Ростов-на-Дону,стор.</t>
  </si>
  <si>
    <t>Г-ввод снт Женьшень,41, ул.Женьшеневая,26а, г.Ростов-на-Дону,стор.</t>
  </si>
  <si>
    <t>Г-ввод снт Женьшень,41, ул.Женьшеневая,26б, г.Ростов-на-Дону,стор.</t>
  </si>
  <si>
    <t>Г-ввод СНТ Задонье,121/13,ст.Ольгинская,Аксайский р-н,стор.</t>
  </si>
  <si>
    <t>Г-ввод СНТ Защитник,13/23, г.Ростов-на-Дону,стор.</t>
  </si>
  <si>
    <t>Г-ввод СНТ Защитник,6/10,г.Ростов-на-Дону,стор.</t>
  </si>
  <si>
    <t>Г-ввод СНТ Инициативный,120,г.Ростов-на-Дону,стор.</t>
  </si>
  <si>
    <t>Г-ввод СНТ Инициативный,122, КН 61:44:0030606:657, г.Ростов-на-Дону,стор.</t>
  </si>
  <si>
    <t>Г-ввод СНТ Инициативный,122, КН 61:44:0030606:658, г.Ростов-на-Дону,стор.</t>
  </si>
  <si>
    <t>Г-ввод СНТ Инициативный,298, г.Ростов-на-Дону, к ГНД СНТ Инициативный, г.Ростов-на-Дону, стор</t>
  </si>
  <si>
    <t>Г-ввод СНТ Ириния,51, г.Ростов-на-Дону,стор.</t>
  </si>
  <si>
    <t>Г-ввод СНТ Мечта, уч 9а,г.Ростов-на-Дону,стор.</t>
  </si>
  <si>
    <t>Г-ввод СНТ Урожай, уч-к 2-42 к.н. 61:44:0082612:136,г.Ростов-на-Дону,стор.</t>
  </si>
  <si>
    <t>Г-ввод ст Вива Виктория,29, г.Ростов-на-Дону, стор.</t>
  </si>
  <si>
    <t>Г-ввод ст Дружба,кн.61:44:0061602:1490, г.Ростов-на-Дону,стор.</t>
  </si>
  <si>
    <t>Г-ввод ст Дружба,кн.61:44:0061602:1491, г.Ростов-на-Дону,стор.</t>
  </si>
  <si>
    <t>Г-ввод СТ Космос,284, г.Ростов-на-Дону, стор.</t>
  </si>
  <si>
    <t>Г-ввод ст Урожай,3-44,кн.61:44:0082612:1681, г.Ростов-на-Дону,стор.</t>
  </si>
  <si>
    <t>Г-ввод ст Урожай,4-43,кн.61:44:0082612:1679, г.Ростов-на-Дону,стор.</t>
  </si>
  <si>
    <t>Г-ввод ст Урожай,45-32,кн.61:44:0082612:1628, г.Ростов-на-Дону,стор.</t>
  </si>
  <si>
    <t>Г-ввод ст Урожай,9-31,кн.61:44:0082612:1622, г.Ростов-на-Дону,стор.</t>
  </si>
  <si>
    <t>Г-ввод ст Урожай,кн.61:44:0082612:1632, г.Ростов-на-Дону,стор.</t>
  </si>
  <si>
    <t>Г-ввод ст Урожай,уч-к 8-02, г.Ростов-на-Дону, стор.</t>
  </si>
  <si>
    <t>Г-ввод СТ Факел-2, уч-к 35,г.Ростов-на-Дону,стор.</t>
  </si>
  <si>
    <t>Г-ввод ул.1-я Круговая,50,г.Ростов-на-Дону,стор.</t>
  </si>
  <si>
    <t>Г-ввод ул.1-я Родниковая,17, ДНТ Гамма-Труд, к ПГНД ул.8-я Престижная,г.Ростов-на-Дону, стор.</t>
  </si>
  <si>
    <t>Г-ввод ул.1-я Союзная,37, г.Ростов-на-Дону, стор.</t>
  </si>
  <si>
    <t>Г-ввод ул.1-я Союзная,63, СНТ Союз, уч-к 361, г.Ростов-на-Дону,стор.</t>
  </si>
  <si>
    <t>Г-ввод ул.14-я Линия,84,г.Ростов-на-Дону, к ГСД ул. 14-я Линия,г.Ростов-на-Дону,аренда</t>
  </si>
  <si>
    <t>Г-ввод ул.2 Поселковый,1В,г.Ростов-на-Дону к НГНД диам.57мм г.Ростов-на-Дону, аренда</t>
  </si>
  <si>
    <t>Г-ввод ул.2-я Авиапромовская,9, г.Ростов-на-Дону, стор.</t>
  </si>
  <si>
    <t>Г-ввод ул.2-я Арсенальная,22/40,г.Ростов-на-Дону, к ГНД ер с/т Авангард-3, г.Ростов-на-Дону, стор.</t>
  </si>
  <si>
    <t>Г-ввод ул.2-я Бежевая,7, СНТ Донподход,г.Ростов-на-Дону,стор.</t>
  </si>
  <si>
    <t>Г-ввод ул.2-я Ладная,44А,г.Ростов-на-Дону,стор.</t>
  </si>
  <si>
    <t>Г-ввод ул.2-я линия,20,ДНТ Гамма-Труд, г.Ростов-на-Дону, стор.</t>
  </si>
  <si>
    <t>Г-ввод ул.2-я Обзорная,6, ДНТ Сирень, уч-к 256, г.Ростов-на-Дону, стор.</t>
  </si>
  <si>
    <t>Г-ввод ул.2-я Процветания,34,г.Ростов-на-Дону, стор.</t>
  </si>
  <si>
    <t>Г-ввод ул.2-я Процветания,5б, г.Ростов-на-Дону, стор.</t>
  </si>
  <si>
    <t>Г-ввод ул.2-я Романтическая,69/10,СНТ Донпоходг.Ростов-на-Дону, стор.</t>
  </si>
  <si>
    <t>Г-ввод ул.2-я Спасская,14,г.Ростов-на-Дону,стор.</t>
  </si>
  <si>
    <t>Г-ввод ул.20-я Улица,39,г.Ростов-на-дону к ПГНД ул. 20-я Улица,3-й Переулок, г.Ростов-на-Дону,аренда</t>
  </si>
  <si>
    <t>Г-ввод ул.21-я линия,29, г.Ростов-на-Дону, к ГНД ул. 21-я Линия,г.Ростов-на-Дону,аренда</t>
  </si>
  <si>
    <t>Г-ввод ул.3-я Баррикадная,42/59,г.Ростов-на-Дону к ПГНД ул.4-я Кольцевая,г.Ростов-на-Дону,аренда</t>
  </si>
  <si>
    <t>Г-ввод ул.3-я Кольцевая,9а, г.Ростов-на-Дону к ПГНД по ул. 3-я Кольцевая, аренда</t>
  </si>
  <si>
    <t>Г-ввод ул.3-я Турнирная,68, снт Братство,231, г.Ростов-на-Дону,стор.</t>
  </si>
  <si>
    <t>Г-ввод ул.30-летия Октября, 91В, г.Ростов-на-Дону, стор.</t>
  </si>
  <si>
    <t>Г-ввод ул.37 линия,95, нежилое здание, Олейников Р.В. к ГСД по ул.Богданова,Ростов-на-Дону, аренда</t>
  </si>
  <si>
    <t>Г-ввод ул.4-я Городецкая,22, г.Ростов-на-Дону,стор.</t>
  </si>
  <si>
    <t>Г-ввод ул.4-я Ненаглядная,27, СНТ Защитник,21/40,г.Ростов-на-Дону,стор.</t>
  </si>
  <si>
    <t>Г-ввод ул.4-я Престижная,22, г.Ростов-на-Дону,стор.</t>
  </si>
  <si>
    <t>Г-ввод ул.45-я Линия,20, г.Ростов-на-Дону, к ГСД ул.45-я Линия, г.Ростов-на-Дону, аренда</t>
  </si>
  <si>
    <t>Г-ввод ул.5-й Касательный,34, снт Инициативный,221, г.Ростов-на-Дону,стор.</t>
  </si>
  <si>
    <t>Г-ввод ул.6-я Процветания,31,СНТ "Урожай"г.Ростов-на-Дону к ГНД по тер."Урожай" , аренда</t>
  </si>
  <si>
    <t>Г-ввод ул.7-й Лазоревый,51, г.Ростов-на-Дону, стор.</t>
  </si>
  <si>
    <t>Г-ввод ул.7-я Ненаглядная,4, г.Ростов-на-Дону,стор.</t>
  </si>
  <si>
    <t>Г-ввод ул.7-я Турнирная,39,г.Ростов-на-Дону,стор.</t>
  </si>
  <si>
    <t>Г-ввод ул.Амбулаторная,123, г.Ростов-на-Дону, ул.Амбулаторная,г.Ростов-на-Дону, стор.</t>
  </si>
  <si>
    <t>Г-ввод ул.Белорусская,159,г.Ростов-на-Дону,стор.</t>
  </si>
  <si>
    <t>Г-ввод ул.Бесселя,8,п.Щепкин,АО Темерницкое,Аксайский р-н,стор.</t>
  </si>
  <si>
    <t>Г-ввод ул.Вавилова,68, г.Ростов-на-Дону,к ГСД ул.Днепроградская,г.Ростов-на-Дону,аренда</t>
  </si>
  <si>
    <t>Г-ввод ул.Волкова,5в,г.Ростов-на-Дону,ПГНД ул.Волкова,5-7,г.Ростов-на-Дону,аренда</t>
  </si>
  <si>
    <t>Г-ввод ул.Вятская, к.н. 61:44:0021613:10,г.Ростов-на-Дону,стор.</t>
  </si>
  <si>
    <t>Г-ввод ул.Галактическая,23, г.Ростов-на-Дону, к ПГСД ул.Галактическая, г.Ростов-на-Дону, стор.</t>
  </si>
  <si>
    <t>Г-ввод ул.Гераневая,31/21,г.Ростов-на-Дону к ПГСД ул.Гераневая,г.Ростов-на-Дону,стор.</t>
  </si>
  <si>
    <t>Г-ввод ул.Город Волос,70, г.Ростов-на-Дону к ПГСД ул.пр.Кировский,г.Ростов-на-Дону,аренда</t>
  </si>
  <si>
    <t>Г-ввод ул.Гостеприимная,8, ДНТ Исток,94, г.Ростов-на-Дону,стор.</t>
  </si>
  <si>
    <t>Г-ввод ул.Гранатовая,14,х.Камышеваха к ГСД диам.до 100мм по ул.Гранат,х.Камышев,Аксайский р-н,аренда</t>
  </si>
  <si>
    <t>Г-ввод ул.Гранитная,20,х.Камышеваха к ГНД по ул.Гранит,х.Камышев,Аксайский р-н,аренда</t>
  </si>
  <si>
    <t>Г-ввод ул.Гранитная,62/4, г.Ростов-на-Дону, к РГНД ул.Гранитная,г.Ростов-на-Дону, аренда</t>
  </si>
  <si>
    <t>Г-ввод ул.Димитрова,63,г.Ростов-на-Дону к ПГСД ул.Димитрова,г.Ростов-на-Дону,аренда</t>
  </si>
  <si>
    <t>Г-ввод ул.Днепропетровская,50Д,г.Ростов-на-Дону, заявитель Скибенко В.П.</t>
  </si>
  <si>
    <t>Г-ввод ул.Доватора, кад.№61:44:0070502:19,г.Ростов-на-Дону г.ГНД по ул.Доватора, г.Ростов-,аренда</t>
  </si>
  <si>
    <t>Г-ввод ул.Доватора, ком.зона р-на Левенцовка, к ПГСД ул.Доватора,г.Ростов-на-Дону,аренда</t>
  </si>
  <si>
    <t>Г-ввод ул.Доватора, коммун.застройка жил.р-на Ливенцовский, г.Ростов-на-Дону,аренда</t>
  </si>
  <si>
    <t>Г-ввод ул.Доватора,71б,г.Ростов-на-Дону,стор.</t>
  </si>
  <si>
    <t>Г-ввод ул.Думенко,13е, г.Ростов-на-Дону к ПГНД ул.Лелюшенко, г.Ростов-на-Дону, аренда</t>
  </si>
  <si>
    <t>Г-ввод ул.Екатерининская,27,п.Темерницкий,Аксайский р-н,стор.</t>
  </si>
  <si>
    <t>Г-ввод ул.Елисейские Поля,44,х.Камышеваха,Аксайский р-н,стор.</t>
  </si>
  <si>
    <t>Г-ввод ул.Еремеко,56д,г.Ростов-на-Дону, к ПГСД ул.Доватора,г.Ростов-на-Дону,аренда</t>
  </si>
  <si>
    <t>Г-ввод ул.Ефремова,11,г.Ростов-на-Дону к НГНД по ул.Ефремова,г.Ростов-на-Дону,аренда</t>
  </si>
  <si>
    <t>Г-ввод ул.Жавель,44, х.Камышеваха,Аксайский р-н, стор.</t>
  </si>
  <si>
    <t>Г-ввод ул.Задонская,3а, г.Ростов-на-Дону, к РГНД ул.Нозадзе, г.Ростов-на-Дону, аренда</t>
  </si>
  <si>
    <t>Г-ввод ул.Зерноградская,37,г.Рстов-на-Дону, к ГНД ул.Зерноградская, г.Ростов-на-Дону, стор.</t>
  </si>
  <si>
    <t>Г-ввод ул.Зрелищная,18а,г.Ростов-на-Дону,стор.</t>
  </si>
  <si>
    <t>Г-ввод ул.Изумрудная,40,х.Камышеваха к ПГСД по пр.Изумрудная,Камышеваха,Аксайский р-н, аренда</t>
  </si>
  <si>
    <t>Г-ввод ул.Инициативная,12, г.Ростов-на-Дону к ПГНД по ул.Инициативная, аренда</t>
  </si>
  <si>
    <t>Г-ввод ул.Инициативная,16,г.Ростов-на-Дону,стор.</t>
  </si>
  <si>
    <t>Г-ввод ул.Калиновская,15, г.Ростов-на-Дону к ПГНД ул.Калиновская, г.Ростов-на-Дону, аренда</t>
  </si>
  <si>
    <t>Г-ввод ул.Катаева,233а,г.Ростов-на-Дону к НГНД ул.Катаева,г.Ростов-на-Дону,аренда</t>
  </si>
  <si>
    <t>Г-ввод ул.Катаева,289,г.Ростов-на-Дону к ПГНД ул.Катаева,г.Ростов-на-Дону,аренда</t>
  </si>
  <si>
    <t>Г-ввод ул.Каширская,8В,г.Ростов-на-Дону г.ГНД ул.ул.Каширскаяя,г.Ростов-на-Дону,аренда</t>
  </si>
  <si>
    <t>Г-ввод ул.Кишиневская,28А,г.Ростов-на-Дону,стор.</t>
  </si>
  <si>
    <t>Г-ввод ул.Книжная,111,г.Ростов-на-Дону к ГНД ул.Книжная,г.Ростов-на-Дону, аренда</t>
  </si>
  <si>
    <t>Г-ввод ул.Книжная,260А,г.Ростов-на-Дону к РГНД ул.Книжная, г.Ростов-на-Дону, аренда</t>
  </si>
  <si>
    <t>Г-ввод ул.Комсомольская,88/5А, г.Ростов-на-Дону к ГСД по ул. 45-яЛиния, аренда</t>
  </si>
  <si>
    <t>Г-ввод ул.Кооперативная,12А,г.Ростов-на-Дону,ПГНД ул.Кооперат,г.Ростов-на-Дону,аренда</t>
  </si>
  <si>
    <t>Г-ввод ул.Космическая,17,г.Ростов-на-Дону,стор.</t>
  </si>
  <si>
    <t>Г-ввод ул.Кржижановского,179/5,г.Ростов-на-Дону к ГНД ул.Кржижановского,г.Ростов-на-Дону,аренда</t>
  </si>
  <si>
    <t>Г-ввод ул.Кржижановского,245 к РГНД ул.Кржижановского,г.Ростов-на-Дону,аренда</t>
  </si>
  <si>
    <t>Г-ввод ул.Кристальная,14, к.н. 61:02:0600010:11496,х.Камышеваха,Аксайский р-н,стор.</t>
  </si>
  <si>
    <t>Г-ввод ул.Курортная,106/52,г.Ростов-на-Дону,стор.</t>
  </si>
  <si>
    <t>Г-ввод ул.Курортная,119/54,г.Ростов-на-Дону,стор.</t>
  </si>
  <si>
    <t>Г-ввод ул.Курортная,41а,г.Ростов-на-Дону,к ПГНД ул.Горбачева,г.Ростов-на-Дону,аренда</t>
  </si>
  <si>
    <t>Г-ввод ул.Курортная,97/1,г.Ростов-на-Дону,стор.</t>
  </si>
  <si>
    <t>Г-ввод ул.Лазуритовая,44п.Камышеваха,Аксайский р к ПГСД п. Камышеваха,аренда</t>
  </si>
  <si>
    <t>Г-ввод ул.Лазуритовая.29,х.Камышеваха к ПГСД ул.Лазурит,х.Камышеваха,Аксайский р-н,аренда</t>
  </si>
  <si>
    <t>Г-ввод ул.Латунева,13/37, х.Камышеваха,Аксайский р-н, стор.</t>
  </si>
  <si>
    <t>Г-ввод ул.Левобережная,17А г.Ростов-на-Дону к ГСД по ул.Левобережная,г.ростов-на-Дону,аренда</t>
  </si>
  <si>
    <t>Г-ввод ул.Левобережная,2, СНТ Задонье, уч-к 157/3, ст.Ольгинская,Аксайский р-н,стор.</t>
  </si>
  <si>
    <t>Г-ввод ул.Левобережная,2, СНТ Задонье, уч-к 440/3, ст.Ольгинская,Аксайский р-н,стор.</t>
  </si>
  <si>
    <t>Г-ввод ул.Левобережная,2, СНТ Задонье,уч-к 153, кв.1, ст.Ольгинская,Аксайский р-н,стор.</t>
  </si>
  <si>
    <t>Г-ввод ул.Левобережная,2, уч.99,с/т Задонье,ст.Ольгинская к НГНД ст.Ольгинская,Аксайский р-н, аренда</t>
  </si>
  <si>
    <t>Г-ввод ул.Левобережная,2,снт Задонье, уч-к 219/3,ст.Ольгинская,Аксайский р-н, стор.</t>
  </si>
  <si>
    <t>Г-ввод ул.Левобережная,4, ст Донское, 2-я линия, уч-к 17, ст.Ольгинская,Аксайский р-н ,стор.</t>
  </si>
  <si>
    <t>Г-ввод ул.Левобережная,4, ст Донское, уч-к 17, ст.Ольгинская,Аксайский р-н ,стор.</t>
  </si>
  <si>
    <t>Г-ввод ул.Левобережная,4, ст.Донское, уч-к 785, ст.Ольгинская,Аксайский р-н, стор.</t>
  </si>
  <si>
    <t>Г-ввод ул.Левобережная,4, уч-к 840, с/т Донское,ст.Ольгинская,Аксайский р-н ,стор.</t>
  </si>
  <si>
    <t>Г-ввод ул.Левобережная,6 г.Ростов-на-Дону к ГСД по ул.Левобережная,г.ростов-на-Дону,аренда</t>
  </si>
  <si>
    <t>Г-ввод ул.Ленина,161/2,г.Ростов-на-Дону к ГНД по ул.Ленина,г.ростов-на-Дону,аренда</t>
  </si>
  <si>
    <t>Г-ввод ул.Лермонтовская,111,г.Ростов-на-Дону к РГСД пер.Газетный,Ростов-на-Дону, аренда</t>
  </si>
  <si>
    <t>Г-ввод ул.Линейная,110,г.Ростов-на-Дону,стор.</t>
  </si>
  <si>
    <t>Г-ввод ул.Литейная,20, х.Камышеваха,Аксайский р-н, стор.</t>
  </si>
  <si>
    <t>Г-ввод ул.Литовская,40,38,г.Ростов-на-Дону,стор.</t>
  </si>
  <si>
    <t>Г-ввод ул.Луговая,13,п. Водопадный,Аксайский р,стор.</t>
  </si>
  <si>
    <t>Г-ввод ул.Магнитогорская,4а,г.Ростов-на-Дону,стор.</t>
  </si>
  <si>
    <t>Г-ввод ул.Мадояна,110/12,г.Ростов-на-Дону,стор.</t>
  </si>
  <si>
    <t>Г-ввод ул.Мадояна,45А/25,г.Ростов-на-Дону к ГНД ул.Мадояна,г.Ростов-на-Дону,аренда</t>
  </si>
  <si>
    <t>Г-ввод ул.Мадояна,58В, г.Ростов-на-Дону к РГ по пер. Вагайский, аренда</t>
  </si>
  <si>
    <t>Г-ввод ул.Малахитовая,11,х.Камышеваха, к ПГСД пер.Хрустальный,х.Камышеваха, Аксайский р-н, стор.</t>
  </si>
  <si>
    <t>Г-ввод ул.Малахитовая,35, х.Камышеваха,к ГСД ул.Малахитовая,х.Камышеваха,Аксайский р-н,аренда</t>
  </si>
  <si>
    <t>Г-ввод ул.Механизаторов,13,г.Ростов-на-Дону, к ГСД ул.Механизаторов,г.Ростов-на-Дону,аренда</t>
  </si>
  <si>
    <t>Г-ввод ул.Мечникова,130,г.Ростов-на-Дону к ПГНД ул.Дранко,Ростов-на-Дону, аренда</t>
  </si>
  <si>
    <t>Г-ввод ул.Мечникова,75,г.Ростов-на-Дону к ПГНД ул.Мечникова,Ростов-на-Дону, аренда</t>
  </si>
  <si>
    <t>Г-ввод ул.Милая,37, г.Ростов-на-Дону,стор.</t>
  </si>
  <si>
    <t>Г-ввод ул.Миронова,2Е,г.Ростов-на-Дону,ГНД ул.Лелюшенко,г.Ростов-на-Дону,аренда</t>
  </si>
  <si>
    <t>Г-ввод ул.Московская,38,п.Темерницкий к ПГНД ул.Раздольной,п.Темерницкий,Аксайский р-н, стор.</t>
  </si>
  <si>
    <t>Г-ввод ул.Мраморная,9, х.Камышеваха,Аксайский р-н, стор.</t>
  </si>
  <si>
    <t>Г-ввод ул.Мурманская,80,г.Ростов-на-Дону к ГНД по ул.Мурманской,г.Ростов-на-Дону,аренда</t>
  </si>
  <si>
    <t>Г-ввод ул.Нансена,255/1, г.Ростов-на-Дону,к ПГНД пер.Казахстанскому,г.Ростов-на-Дону,аренда</t>
  </si>
  <si>
    <t>Г-ввод ул.Народного Ополчения,156, г.Ростов-на-Дону к ПГНД по ул.Народного Ополчения, аренда</t>
  </si>
  <si>
    <t>Г-ввод ул.Нижегородская,17,г.Ростов-на-Дону г.ГНД по ул.Нижегородская,г.Ростов-на-Дону,аренда</t>
  </si>
  <si>
    <t>Г-ввод ул.Орбитальная,3е,г.Ростов-на-Дону, стор.</t>
  </si>
  <si>
    <t>Г-ввод ул.Ореховая,22,п.Темерницкий,Аксайский р-н,стор.</t>
  </si>
  <si>
    <t>Г-ввод ул.Павлодарская,8, г.Ростов-на-Дону, к ГНД ул.Павлодарская,г.Ростов-на-Дону,аренда</t>
  </si>
  <si>
    <t>Г-ввод ул.Петровская/пер.Кольцовский,26/8, г.Ростов-на-Дону к ГНД по пер. Университетеский,аренда</t>
  </si>
  <si>
    <t>Г-ввод ул.Печенежская,29,г.Ростов-на-Дону,к ПГНД ул.Печенежская,29, г.Ростов-на-Дону,стор.</t>
  </si>
  <si>
    <t>Г-ввод ул.Подтелкова,15,г.Ростов-на-Дону,стор.</t>
  </si>
  <si>
    <t>Г-ввод ул.Полторацкого,96а,г.Ростов-на-Дону г.ГНД ул.Полторацкого,96а,г.Ростов-на-Дону,аренда</t>
  </si>
  <si>
    <t>Г-ввод ул.Пороховая Балка,2А,г.Аксай, к ГНД ул.Пороховая Балка,2А,г.Аксай,Аксайский р-н, стор.</t>
  </si>
  <si>
    <t>Г-ввод ул.Пороховая Балка,2А,г.Аксай, к ГНД ул.Пороховая Балка,2А,СНТ Дружба-2, уч.9,г.Аксай,стор.</t>
  </si>
  <si>
    <t>Г-ввод ул.Портовая,63,г.Ростов-на-Дону,стор.</t>
  </si>
  <si>
    <t>Г-ввод ул.Профсоюзная,34,г.Ростов-на-Дону, к ПГНД ул.Профсоюзная,г.Ростов-на-Дону,аренда</t>
  </si>
  <si>
    <t>Г-ввод ул.Пушкинская,164А,г.Ростов-на-Дону к НГНД по ул.Пушкинской,г.Ростов-на-Дону,аренда</t>
  </si>
  <si>
    <t>Г-ввод ул.Радищева,54, г.Ростов-на-Дону, к ГНД ул.Радищева,г.Ростов-на-Дону,аренда</t>
  </si>
  <si>
    <t>Г-ввод ул.Риволи,45,х.Камышеваха,Аксайский р-н,стор.</t>
  </si>
  <si>
    <t>Г-ввод ул.Романтичная,14,а СНТ Донподход к ПГНД тер-ии СНТ Донподход, г.Ростов-на-Дону,аренда</t>
  </si>
  <si>
    <t>Г-ввод ул.Рубиновая,11/2,х.Камышеваха к ПГНД по ул.Рубиновая,х.Камышеваха,Аксайский р-н, аренда</t>
  </si>
  <si>
    <t>Г-ввод ул.Рыцарская,116,г.Ростов-на-Дону к ПГНД по ул.Рыцарская, стор</t>
  </si>
  <si>
    <t>Г-ввод ул.Сапфировая,26,х.Камышеваха кПГНД по ул.Сапфировая,х.Камышеваха,Аксайский р-н,аренда</t>
  </si>
  <si>
    <t>Г-ввод ул.Седова,6/3, г.Ростов-на-Дону, к ГНД ул.Седова,г,Ростов-на-Дону,аренда</t>
  </si>
  <si>
    <t>Г-ввод ул.Скифская,44/51, г.Ростов-на-Дону,стор.</t>
  </si>
  <si>
    <t>Г-ввод ул.Совхозная,39Г,п.Водопадный,АСксайский р, стор.</t>
  </si>
  <si>
    <t>Г-ввод ул.Солидарности,132/19,заявитель Кириченко В.В., к ГНД пер.М.Расковой,г.Ростов-на-Дону,аренда</t>
  </si>
  <si>
    <t>Г-ввод ул.Солидарности,144/21а,г.Ростов-на-Дону, к ГНД пер.Конный,г.Ростов-на-Дону,аренда</t>
  </si>
  <si>
    <t>Г-ввод ул.Солидарности,90/30,г.Ростов-на-Дону к ГНД по ул. Солидарности,аренда</t>
  </si>
  <si>
    <t>Г-ввод ул.Солнечная,10, п.Водопадный,Аксайский р-н, стор.</t>
  </si>
  <si>
    <t>Г-ввод ул.Спелая,4а,ДНТ Садовод-Любитель,г.Ростов-на-Дону, стор.</t>
  </si>
  <si>
    <t>Г-ввод ул.Ст.Советов,9б, г.Ростов-на-Дону к ГСД по ул. Страны Советов, аренда</t>
  </si>
  <si>
    <t>Г-ввод ул.Стрелковая,34,г.Ростов-на-Дону к ГСД по ул.Стрелковая,г.Ростов-на-Дону,аренда</t>
  </si>
  <si>
    <t>Г-ввод ул.Стрелковая,40,г.Ростов-на-Дону к ПГНД диам.до90мм по ул.Стрелковая,г.Ростов-на-Дону,аренда</t>
  </si>
  <si>
    <t>Г-ввод ул.Судостроительная,23/40, г.Ростов-на-Дону, к ПГНД ул.Сейнерная, г.Ростов-на-Дону, аренда</t>
  </si>
  <si>
    <t>Г-ввод ул.Судостроительная,42,г.Ростов-на-Дону к РГНД ул.Судостроительная, г.Ростов-на-Дону</t>
  </si>
  <si>
    <t>Г-ввод ул.Таймырская,34-36,х.Камышеваха,Аксайский р-н,стор.</t>
  </si>
  <si>
    <t>Г-ввод ул.Текстильная,23, СНТ Союз, к ПГНД ул.Текстильная,СНТ Союз, г.Ростов-на-Дону, стор.</t>
  </si>
  <si>
    <t>Г-ввод ул.Текучева,174/99,г.Ростов-на-Дону к РГНД ул.Текучева,г.Ростов-на-Дону,аренда</t>
  </si>
  <si>
    <t>Г-ввод ул.Тибетская,136/2,г.Ростов-на-Дону,стор.</t>
  </si>
  <si>
    <t>Г-ввод ул.Тибетская,53а,г.Ростов-на-Дону,к ПГНД, ул. Зерноградская,аренда</t>
  </si>
  <si>
    <t>Г-ввод ул.Тимошенко,7, г.Ростов-на-Дону,стор.</t>
  </si>
  <si>
    <t>Г-ввод ул.Тракторная,50Л,г.Ростов-на-Дону, стор.</t>
  </si>
  <si>
    <t>Г-ввод ул.Тракторная,50М,г.Ростов-на-Дону, стор.</t>
  </si>
  <si>
    <t>Г-ввод ул.Федоровская,20, п.Темерницкий,Аксайский р-н,стор.</t>
  </si>
  <si>
    <t>Г-ввод ул.Финишная,3,г.Ростов-на-Дону г.ПГНД ул.Финишная,г.Ростов-на-Дону,аренда</t>
  </si>
  <si>
    <t>Г-ввод ул.Ц.Кунникова,9/29,г.Ростов-на-Дону к РГНД по ул.Ц.Кунникова, аренда</t>
  </si>
  <si>
    <t>Г-ввод ул.Ченцова,40, г.Ростов-на-Дону к ПГСД ул.Ченцова,г.Ростов-на-Дону, аренда</t>
  </si>
  <si>
    <t>Г-ввод ул.Черевичкина,106/2,г.Ростов-на-Дону к ГСД по ул.Черевичкина,г.Ростов-на-Дону, аренда</t>
  </si>
  <si>
    <t>Г-ввод ул.Чкалова,24,г.Ростов-на-Дону к ПГНД по ул. Чкалова, аренда</t>
  </si>
  <si>
    <t>Г-ввод ул.Ю-Восточная Промзона,уч.17,г.Ростов-на-Дону к ГСД по пер.1-й Машиностроительный, аренда</t>
  </si>
  <si>
    <t>Г-ввод х.Камышеваха,поле 42б,Аксайский район к.н.61:02:0600010:11319 к ГНД х. Камышеваха,аре аренда</t>
  </si>
  <si>
    <t>Г-вод пер.1-й Атмосферный,5,г.Ростов-на-Дону к ПГНд ул.Космическая,г.Ростов-на-Дону,аренда</t>
  </si>
  <si>
    <t>ПАО "Газпром газораспределение Ростов-на-Дону" в г.Ростов-на-Дону</t>
  </si>
  <si>
    <t>Г-ввод ул.4-я Престижная,22, ДНТ Гамма Труд, г.Ростов-на-Дону, стор.</t>
  </si>
  <si>
    <t xml:space="preserve"> ПАО "Газпром газораспределение Ростов-на-Дону"  в п. Орловском</t>
  </si>
  <si>
    <t>Г-ввод пер.Жлобинский,8,г.Ростов-на-Дону к ГСД по пер.Жлобинский,Ростов-на-Дону, аренда</t>
  </si>
  <si>
    <t>Г-ввод пер.Изумрудный,27,х.Камышеваха к ПГНДпо пер.Изумрудный,Камышеваха,Аксайский р-н, аренда</t>
  </si>
  <si>
    <t>Г-ввод пер.Изумрудный,34/4,х.Камышеваха к ПГНДпо пер.Изумрудный,Камышеваха,Аксайский р-н, аренда</t>
  </si>
  <si>
    <t>Г-ввод пер.Крепостной,44,г.Ростов-на-Дону к ГНД пер.Крепостной,94,г.Ростов-на-Дону,аренда</t>
  </si>
  <si>
    <t>Г-ввод пер.Малый,23А,г.Ростов-на-Дону к ПГНД по пер.Малый, г.Ростов-на-Дону, аренда</t>
  </si>
  <si>
    <t>Г-ввод пер.Санаторный,6А,г.Ростов-на-Дону к ПГСД по пер.Санаторный, аренда</t>
  </si>
  <si>
    <t>Г-ввод пер.Тебердинский,36,г.Ростов-на-Дону г.ГНД пер.Тебердинский,г.Ростов-на-Дону,аренда</t>
  </si>
  <si>
    <t>Г-ввод пр.М.Нагибина,41, г.Ростов-на-Дону к ПГНД по пр.М.Нагибина, аренда</t>
  </si>
  <si>
    <t>Г-ввод пр.Ставского-ул.Профсоюзная,г.Ростов-на-Дону к ПГНД диам.57мм,пр20,2пм.по ул.Ставского,аренда</t>
  </si>
  <si>
    <t>ПГСД пр.Стачки,28,г.Ростов-на-Дону, аренда</t>
  </si>
  <si>
    <t>Г-ввод пр.Стачки,342,г.Ростов-на-Дону к ПГНД по пр.Стачки, г.Ростов-на-Дону,аренда</t>
  </si>
  <si>
    <t>Г-ввод СНТ Яблочко, уч-31, Аксайский р-н, к ГНД СНТ Яблочко,Аксайский р-н, стор</t>
  </si>
  <si>
    <t>Г-ввод СНТ Яблочко,уч.30, к ГНД на тер.СНТ Яблочко, Аксайский р-н, стор.</t>
  </si>
  <si>
    <t>Г-ввод ул.1-я Майская,5/9, г.Ростов-на-Дону к ПРГНД по ул.18-я Линия,г.Ростов-на-Дону, аренда</t>
  </si>
  <si>
    <t>Г-ввод ул.11 Линия,78,г.Ростов-на-Дону к ГСД по ул.11-я Линия, г.Ростов-на-Дону, аренда</t>
  </si>
  <si>
    <t>Г-ввод ул.2-я Обзорная,43, ДНТ Мечта, г.Ростов-на-Дону к ГНД на тер.ДНТ Мечта,г.Ростов-на-Дону,стор</t>
  </si>
  <si>
    <t>Г-ввод ул.20-я Улица,64-66,г.Ростов-на-Дону к ГНД по ул.20-я Улица, г.Ростов-на-Дону, аренда</t>
  </si>
  <si>
    <t>Г-ввод ул.6 Линия,74,г.Ростов-на-Дону к ГНД по ул.6-я Линия, г.Ростов-на-Дону, аренда</t>
  </si>
  <si>
    <t>Г-ввод ул.Береговая,37/1,г.Ростов-на-Дону к ПГСД диам.76мм по ул.Береговая,г.Ростов-н/Д,аренда</t>
  </si>
  <si>
    <t>Г-ввод ул.Береговая,59,г.Ростов-на-Дону к ГНД ул.Береговая,г.Ростов-на-Дону,аренда</t>
  </si>
  <si>
    <t>Г-ввод ул.Вавилова,71 Д/1,г.Ростов-на-Дону к ПГСД в г.Ростове-на-Дону по ул.Вавилова, аренда</t>
  </si>
  <si>
    <t>Г-ввод ул.Калиновская,55,г.Ростов-на-Дону к ПГНД по ул.Калиновская,Ростов-на-Дону, аренда</t>
  </si>
  <si>
    <t>Г-ввод ул.Магнитогорская,30а,г.Ростов-на-Дону к ПГСД по пер.Валуйский,г.ростов-на-Дону,аренда</t>
  </si>
  <si>
    <t>Г-ввод ул.Механизаторов,8А, г.Ростов-на-Дону к ПГСД по ул.Механизаторов,8 и Конституционной, аренда</t>
  </si>
  <si>
    <t>Г-ввод ул.Очаковская,88,г.Ростов-на-Дону к ГНД ул.Очаковская,г.Ростов-на-Дону,аренда</t>
  </si>
  <si>
    <t>Г-ввод ул.Портовая,257/27,г.Ростов-на-Дону г.ГНД ул.Портовая,г.Ростов-на-Дону,аренда</t>
  </si>
  <si>
    <t>Г-ввод ул.Серова,18а,г.Ростов-на-Дону к ГНД по ул.Серова,г.Ростов-на-Дону,аренда</t>
  </si>
  <si>
    <t>Г-ввод ул.Стрелковая,40А,г.Ростов-на-Дону к ПГНД д. до90мм по ул.Стрелковая,г.Ростов-на-Дону,аренда</t>
  </si>
  <si>
    <t>Г-ввод ул.Стрелковая,42,г.Ростов-на-Дону к ПГСД по ул.Стрелковая, г.Ростов-на-Дону, аренда</t>
  </si>
  <si>
    <t>Г-ввод ул.Стрелковая,44/14, г.Ростов-на-Дону к ПГНД по ул. Стрелковая, аренда</t>
  </si>
  <si>
    <t>Г-ввод ул.Текучева,113,г.Ростов-на-Дону г.ГНД ул.Текучева,г.Ростов-на-Дону,аренда</t>
  </si>
  <si>
    <t>ВНГ АГРС ул.Родник,Первом,Центр,Памят,Октябрьск,Партизанск.,  с.Самбек,Неклиновский р-н, аренда</t>
  </si>
  <si>
    <t>Г-ввод ул.Греческая,92-4,г.Таганрог к ГНД 21198м.А.Глушко, г.Таганрог,аренда</t>
  </si>
  <si>
    <t>Г-ввод ул.Западная,30-а,с.Самбек к ПГ с.Самбек,улЦентр,Морск,Подгор,Берег, Неклиновский р-н,аренда</t>
  </si>
  <si>
    <t>Г-ввод ул.Ленина,2-в,с.Троицкое,к ПГ от АГРС с.Троиц.молоч.комплекс,ул.Строит.Неклиновкий.р-н,аренда</t>
  </si>
  <si>
    <t>Г-ввод ул.Морская,41южная часть села Самбек,ПГ с.Самбек,х.Курлацкий от АГРС, Неклиновский р-н,аренда</t>
  </si>
  <si>
    <t>ГВД п.Магистральный, ул.Красноармейская, п.Орловский, инв.000013180</t>
  </si>
  <si>
    <t>ГСНД ст. Буденновская, Пролетарского района, инв.00013045</t>
  </si>
  <si>
    <t>Г-ввод к.н.61:33:0600012:642,
 с.Генеральское,Родионово-Несветайский р-н, стор.</t>
  </si>
  <si>
    <t>Разрешение на строительство</t>
  </si>
  <si>
    <t>№Ru 61-502101-574-2015 от 29.01.16г.</t>
  </si>
  <si>
    <t>№ 61-525-668-2017 от 16.11.17г.</t>
  </si>
  <si>
    <t>№61-532-6-2017 от  10.08.17г</t>
  </si>
  <si>
    <t>№Ru 61532310-11 от 09.02.12г.</t>
  </si>
  <si>
    <t>№ 61-542312-26-2018 от 20.03.18г.</t>
  </si>
  <si>
    <t>№61-532308-2-2017 от  10.08.17г</t>
  </si>
  <si>
    <t>№61-RU61534311-484-2017 от 06.12.2017</t>
  </si>
  <si>
    <t>№61-529-105-2017 от 05.12.2017</t>
  </si>
  <si>
    <t>№ 61-518-57-2016 от 22.11.2016</t>
  </si>
  <si>
    <t>№61-518303-65-2017 от 25.10.2017</t>
  </si>
  <si>
    <t>№61524307-07-2017 от 21.12.2017</t>
  </si>
  <si>
    <t>№ RU 61502307-190-2017 от 07.12.2017</t>
  </si>
  <si>
    <t>№ 61-RU61534000-189-2016 от 02.06.2016</t>
  </si>
  <si>
    <t>№61524307-06-2017 от 27.11.2017</t>
  </si>
  <si>
    <t>№ 61-304-1197-2017 от 06.12.2017</t>
  </si>
  <si>
    <t>№61-511-036-2017 от 29.12.2017</t>
  </si>
  <si>
    <t>№ RU 61-501-038-2017 от 18.12.2017</t>
  </si>
  <si>
    <t>№61-RU61537310-03-2018 от 24.01.2018</t>
  </si>
  <si>
    <t>№ 61-518000-35-2017 от 22.06.2017</t>
  </si>
  <si>
    <t>№61-RU61534311-483-2017 от 06.12.2017</t>
  </si>
  <si>
    <t>№61-502304-174-2018 от 06.03.18</t>
  </si>
  <si>
    <t>№61-502101-35-2018 от 28.02.18</t>
  </si>
  <si>
    <t>№61-304-1206-2018 от 24.01.18</t>
  </si>
  <si>
    <t>№61-301-35-2018 от 05.02.18</t>
  </si>
  <si>
    <t>№61-000-80-2017 от 22.05.17</t>
  </si>
  <si>
    <t>№61-532308-2-2017
 от  10.08.17г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</si>
</sst>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/mm/yy;@"/>
  </numFmts>
  <fonts count="38" x14ac:knownFonts="1">
    <font>
      <sz val="8"/>
      <name val="Arial"/>
      <family val="2"/>
    </font>
    <font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i/>
      <sz val="9"/>
      <name val="Arial Cyr"/>
      <charset val="204"/>
    </font>
    <font>
      <sz val="9"/>
      <name val="Arial Cyr"/>
      <charset val="204"/>
    </font>
    <font>
      <sz val="10"/>
      <name val="Helv"/>
    </font>
    <font>
      <sz val="8"/>
      <name val="Arial"/>
      <family val="2"/>
    </font>
    <font>
      <b/>
      <sz val="9"/>
      <name val="Arial Cyr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9"/>
      <name val="Arial"/>
      <family val="2"/>
      <charset val="1"/>
    </font>
    <font>
      <sz val="9"/>
      <name val="Helv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9"/>
      <name val="Arial"/>
      <family val="2"/>
      <charset val="204"/>
    </font>
    <font>
      <i/>
      <sz val="9"/>
      <name val="Arial Cyr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21"/>
      <name val="Arial"/>
      <family val="2"/>
      <charset val="204"/>
    </font>
    <font>
      <i/>
      <sz val="9"/>
      <color theme="1"/>
      <name val="Arial Cyr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9"/>
      <color rgb="FFFF0000"/>
      <name val="Arial Cyr"/>
      <charset val="204"/>
    </font>
    <font>
      <i/>
      <sz val="9"/>
      <name val="Arial Cyr"/>
      <family val="2"/>
      <charset val="204"/>
    </font>
    <font>
      <i/>
      <sz val="9"/>
      <name val="Arial"/>
      <family val="2"/>
    </font>
    <font>
      <sz val="9"/>
      <color indexed="10"/>
      <name val="Arial Cyr"/>
      <family val="2"/>
      <charset val="204"/>
    </font>
    <font>
      <sz val="9"/>
      <color theme="1"/>
      <name val="Arial Cyr"/>
      <family val="2"/>
      <charset val="204"/>
    </font>
    <font>
      <sz val="9"/>
      <color indexed="63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7" fillId="0" borderId="0"/>
  </cellStyleXfs>
  <cellXfs count="168">
    <xf numFmtId="0" fontId="0" fillId="0" borderId="0" xfId="0"/>
    <xf numFmtId="0" fontId="1" fillId="2" borderId="0" xfId="0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/>
    <xf numFmtId="4" fontId="12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0" fillId="2" borderId="1" xfId="0" applyFont="1" applyFill="1" applyBorder="1"/>
    <xf numFmtId="0" fontId="6" fillId="2" borderId="1" xfId="0" applyFont="1" applyFill="1" applyBorder="1"/>
    <xf numFmtId="0" fontId="9" fillId="2" borderId="0" xfId="0" applyFont="1" applyFill="1" applyBorder="1"/>
    <xf numFmtId="0" fontId="15" fillId="2" borderId="0" xfId="0" applyFont="1" applyFill="1" applyBorder="1"/>
    <xf numFmtId="0" fontId="15" fillId="2" borderId="0" xfId="0" applyFont="1" applyFill="1"/>
    <xf numFmtId="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1" xfId="0" applyFill="1" applyBorder="1"/>
    <xf numFmtId="0" fontId="12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19" fillId="0" borderId="1" xfId="0" applyFont="1" applyFill="1" applyBorder="1" applyAlignment="1">
      <alignment horizontal="right" wrapText="1"/>
    </xf>
    <xf numFmtId="4" fontId="6" fillId="2" borderId="1" xfId="0" applyNumberFormat="1" applyFont="1" applyFill="1" applyBorder="1"/>
    <xf numFmtId="4" fontId="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wrapText="1"/>
    </xf>
    <xf numFmtId="4" fontId="22" fillId="3" borderId="1" xfId="0" applyNumberFormat="1" applyFont="1" applyFill="1" applyBorder="1" applyAlignment="1">
      <alignment horizontal="right" vertical="top" wrapText="1"/>
    </xf>
    <xf numFmtId="0" fontId="19" fillId="0" borderId="1" xfId="1" applyNumberFormat="1" applyFont="1" applyFill="1" applyBorder="1" applyAlignment="1">
      <alignment horizontal="right" wrapText="1"/>
    </xf>
    <xf numFmtId="0" fontId="19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 wrapText="1"/>
    </xf>
    <xf numFmtId="0" fontId="7" fillId="0" borderId="1" xfId="1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0" fontId="1" fillId="3" borderId="0" xfId="0" applyFont="1" applyFill="1" applyBorder="1"/>
    <xf numFmtId="4" fontId="6" fillId="3" borderId="1" xfId="0" applyNumberFormat="1" applyFont="1" applyFill="1" applyBorder="1"/>
    <xf numFmtId="0" fontId="7" fillId="0" borderId="1" xfId="2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vertical="center"/>
    </xf>
    <xf numFmtId="0" fontId="1" fillId="4" borderId="0" xfId="0" applyFont="1" applyFill="1" applyBorder="1"/>
    <xf numFmtId="4" fontId="6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5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right" wrapText="1"/>
    </xf>
    <xf numFmtId="0" fontId="8" fillId="2" borderId="1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right" wrapText="1"/>
    </xf>
    <xf numFmtId="0" fontId="24" fillId="0" borderId="1" xfId="1" applyNumberFormat="1" applyFont="1" applyFill="1" applyBorder="1" applyAlignment="1">
      <alignment horizontal="right" wrapText="1"/>
    </xf>
    <xf numFmtId="0" fontId="24" fillId="0" borderId="1" xfId="2" applyNumberFormat="1" applyFont="1" applyFill="1" applyBorder="1" applyAlignment="1">
      <alignment horizontal="right" wrapText="1"/>
    </xf>
    <xf numFmtId="0" fontId="24" fillId="0" borderId="1" xfId="2" applyNumberFormat="1" applyFont="1" applyFill="1" applyBorder="1" applyAlignment="1">
      <alignment horizontal="right"/>
    </xf>
    <xf numFmtId="0" fontId="29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right"/>
    </xf>
    <xf numFmtId="49" fontId="24" fillId="0" borderId="1" xfId="1" applyNumberFormat="1" applyFont="1" applyFill="1" applyBorder="1" applyAlignment="1">
      <alignment horizontal="right" wrapText="1"/>
    </xf>
    <xf numFmtId="49" fontId="24" fillId="0" borderId="1" xfId="2" applyNumberFormat="1" applyFont="1" applyFill="1" applyBorder="1" applyAlignment="1">
      <alignment horizontal="right" wrapText="1"/>
    </xf>
    <xf numFmtId="0" fontId="24" fillId="0" borderId="1" xfId="0" applyFont="1" applyFill="1" applyBorder="1" applyAlignment="1">
      <alignment horizontal="right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wrapText="1"/>
    </xf>
    <xf numFmtId="0" fontId="24" fillId="0" borderId="1" xfId="0" applyNumberFormat="1" applyFont="1" applyFill="1" applyBorder="1" applyAlignment="1">
      <alignment horizontal="right" wrapText="1"/>
    </xf>
    <xf numFmtId="14" fontId="19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24" fillId="0" borderId="1" xfId="1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1" fontId="1" fillId="0" borderId="6" xfId="0" applyNumberFormat="1" applyFont="1" applyFill="1" applyBorder="1" applyAlignment="1">
      <alignment horizontal="center" vertical="center" wrapText="1"/>
    </xf>
    <xf numFmtId="4" fontId="26" fillId="0" borderId="8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wrapText="1"/>
    </xf>
    <xf numFmtId="1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4" fontId="6" fillId="0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center" vertical="center"/>
    </xf>
    <xf numFmtId="4" fontId="33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/>
    <xf numFmtId="4" fontId="35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top" wrapText="1"/>
    </xf>
    <xf numFmtId="4" fontId="1" fillId="0" borderId="1" xfId="5" applyNumberFormat="1" applyFont="1" applyFill="1" applyBorder="1"/>
    <xf numFmtId="2" fontId="18" fillId="0" borderId="1" xfId="0" applyNumberFormat="1" applyFont="1" applyFill="1" applyBorder="1" applyAlignment="1">
      <alignment horizontal="right" vertical="top" wrapText="1"/>
    </xf>
    <xf numFmtId="0" fontId="29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right" wrapText="1"/>
    </xf>
    <xf numFmtId="0" fontId="34" fillId="0" borderId="1" xfId="0" applyNumberFormat="1" applyFont="1" applyFill="1" applyBorder="1" applyAlignment="1">
      <alignment horizontal="right" wrapText="1"/>
    </xf>
    <xf numFmtId="4" fontId="32" fillId="0" borderId="1" xfId="0" applyNumberFormat="1" applyFont="1" applyFill="1" applyBorder="1" applyAlignment="1">
      <alignment horizontal="center" vertical="center"/>
    </xf>
    <xf numFmtId="4" fontId="36" fillId="0" borderId="1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8" fontId="1" fillId="0" borderId="5" xfId="0" applyNumberFormat="1" applyFont="1" applyFill="1" applyBorder="1" applyAlignment="1">
      <alignment horizontal="center" vertical="center" wrapText="1"/>
    </xf>
    <xf numFmtId="168" fontId="1" fillId="0" borderId="6" xfId="0" applyNumberFormat="1" applyFont="1" applyFill="1" applyBorder="1" applyAlignment="1">
      <alignment horizontal="center" vertical="center" wrapText="1"/>
    </xf>
    <xf numFmtId="168" fontId="1" fillId="0" borderId="9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 wrapText="1"/>
    </xf>
    <xf numFmtId="168" fontId="37" fillId="0" borderId="1" xfId="2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3" fillId="3" borderId="1" xfId="0" applyFont="1" applyFill="1" applyBorder="1"/>
    <xf numFmtId="0" fontId="0" fillId="3" borderId="1" xfId="0" applyFont="1" applyFill="1" applyBorder="1"/>
    <xf numFmtId="0" fontId="12" fillId="3" borderId="1" xfId="0" applyFont="1" applyFill="1" applyBorder="1"/>
    <xf numFmtId="0" fontId="6" fillId="3" borderId="1" xfId="0" applyFont="1" applyFill="1" applyBorder="1"/>
    <xf numFmtId="0" fontId="15" fillId="3" borderId="1" xfId="0" applyFont="1" applyFill="1" applyBorder="1"/>
    <xf numFmtId="0" fontId="9" fillId="3" borderId="1" xfId="0" applyFont="1" applyFill="1" applyBorder="1"/>
    <xf numFmtId="0" fontId="1" fillId="4" borderId="1" xfId="0" applyFont="1" applyFill="1" applyBorder="1"/>
  </cellXfs>
  <cellStyles count="7">
    <cellStyle name="Excel Built-in Excel Built-in Excel Built-in Excel Built-in Excel Built-in Excel Built-in Excel Built-in Excel Built-in Excel Built-in Обычный_инвентаризация" xfId="6"/>
    <cellStyle name="Excel Built-in Normal" xfId="5"/>
    <cellStyle name="TableStyleLight1" xfId="4"/>
    <cellStyle name="Обычный" xfId="0" builtinId="0"/>
    <cellStyle name="Обычный 2" xfId="3"/>
    <cellStyle name="Обычный_инвентаризация" xfId="1"/>
    <cellStyle name="Обычный_Лист1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O1134"/>
  <sheetViews>
    <sheetView tabSelected="1" view="pageBreakPreview" topLeftCell="A217" zoomScale="115" zoomScaleNormal="120" zoomScaleSheetLayoutView="115" workbookViewId="0">
      <selection activeCell="F207" sqref="F207"/>
    </sheetView>
  </sheetViews>
  <sheetFormatPr defaultColWidth="11.33203125" defaultRowHeight="12" outlineLevelRow="1" x14ac:dyDescent="0.2"/>
  <cols>
    <col min="1" max="1" width="64.33203125" style="39" customWidth="1"/>
    <col min="2" max="3" width="19.5" style="150" customWidth="1"/>
    <col min="4" max="4" width="17.83203125" style="139" customWidth="1"/>
    <col min="5" max="5" width="23.6640625" style="140" customWidth="1"/>
    <col min="6" max="6" width="24.6640625" style="140" customWidth="1"/>
    <col min="7" max="7" width="25.33203125" style="140" customWidth="1"/>
    <col min="8" max="8" width="23.5" style="95" customWidth="1"/>
    <col min="9" max="9" width="24.33203125" style="95" customWidth="1"/>
    <col min="10" max="10" width="14.1640625" style="141" customWidth="1"/>
    <col min="11" max="11" width="16" style="1" customWidth="1"/>
    <col min="12" max="12" width="23.6640625" style="40" customWidth="1"/>
    <col min="13" max="16384" width="11.33203125" style="1"/>
  </cols>
  <sheetData>
    <row r="1" spans="1:12" ht="12" customHeight="1" x14ac:dyDescent="0.2">
      <c r="A1" s="80" t="s">
        <v>504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2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2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2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2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ht="25.5" customHeight="1" thickBo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s="8" customFormat="1" ht="57" customHeight="1" thickBot="1" x14ac:dyDescent="0.25">
      <c r="A7" s="53" t="s">
        <v>17</v>
      </c>
      <c r="B7" s="144" t="s">
        <v>18</v>
      </c>
      <c r="C7" s="145" t="s">
        <v>15</v>
      </c>
      <c r="D7" s="111" t="s">
        <v>14</v>
      </c>
      <c r="E7" s="97" t="s">
        <v>29</v>
      </c>
      <c r="F7" s="97" t="s">
        <v>28</v>
      </c>
      <c r="G7" s="97" t="s">
        <v>19</v>
      </c>
      <c r="H7" s="54" t="s">
        <v>20</v>
      </c>
      <c r="I7" s="55" t="s">
        <v>21</v>
      </c>
      <c r="J7" s="112" t="s">
        <v>22</v>
      </c>
      <c r="K7" s="57" t="s">
        <v>23</v>
      </c>
      <c r="L7" s="152" t="s">
        <v>1125</v>
      </c>
    </row>
    <row r="8" spans="1:12" s="8" customFormat="1" ht="12.75" thickBot="1" x14ac:dyDescent="0.25">
      <c r="A8" s="58">
        <v>1</v>
      </c>
      <c r="B8" s="151">
        <v>1</v>
      </c>
      <c r="C8" s="151">
        <v>2</v>
      </c>
      <c r="D8" s="113">
        <v>4</v>
      </c>
      <c r="E8" s="98">
        <v>6</v>
      </c>
      <c r="F8" s="98">
        <v>5</v>
      </c>
      <c r="G8" s="98">
        <v>7</v>
      </c>
      <c r="H8" s="107">
        <v>8</v>
      </c>
      <c r="I8" s="107">
        <v>9</v>
      </c>
      <c r="J8" s="93">
        <v>10</v>
      </c>
      <c r="K8" s="59">
        <v>11</v>
      </c>
      <c r="L8" s="153">
        <v>12</v>
      </c>
    </row>
    <row r="9" spans="1:12" ht="23.25" customHeight="1" x14ac:dyDescent="0.2">
      <c r="A9" s="114" t="s">
        <v>24</v>
      </c>
      <c r="B9" s="146"/>
      <c r="C9" s="146"/>
      <c r="D9" s="115"/>
      <c r="E9" s="106"/>
      <c r="F9" s="106"/>
      <c r="G9" s="106"/>
      <c r="H9" s="94"/>
      <c r="I9" s="94"/>
      <c r="J9" s="116"/>
      <c r="K9" s="56"/>
      <c r="L9" s="154"/>
    </row>
    <row r="10" spans="1:12" ht="24" x14ac:dyDescent="0.2">
      <c r="A10" s="29" t="s">
        <v>275</v>
      </c>
      <c r="B10" s="147">
        <v>43069</v>
      </c>
      <c r="C10" s="147">
        <v>43465</v>
      </c>
      <c r="D10" s="96">
        <v>20</v>
      </c>
      <c r="E10" s="103">
        <v>462172.18</v>
      </c>
      <c r="F10" s="22"/>
      <c r="G10" s="103">
        <v>6817.04</v>
      </c>
      <c r="H10" s="77">
        <f t="shared" ref="H10:H31" si="0">F10+E10+G10</f>
        <v>468989.22</v>
      </c>
      <c r="I10" s="77">
        <f>H10</f>
        <v>468989.22</v>
      </c>
      <c r="J10" s="117"/>
      <c r="K10" s="9"/>
      <c r="L10" s="155"/>
    </row>
    <row r="11" spans="1:12" ht="24" x14ac:dyDescent="0.2">
      <c r="A11" s="34" t="s">
        <v>31</v>
      </c>
      <c r="B11" s="147">
        <v>41891</v>
      </c>
      <c r="C11" s="147">
        <v>43252</v>
      </c>
      <c r="D11" s="96">
        <v>90</v>
      </c>
      <c r="E11" s="102">
        <f>3582950+509105.08</f>
        <v>4092055.08</v>
      </c>
      <c r="F11" s="22">
        <f>94499734.35+21860765.76</f>
        <v>116360500.11</v>
      </c>
      <c r="G11" s="22">
        <f>67885.5+1743016.66+203126+912255+189543+385226</f>
        <v>3501052.16</v>
      </c>
      <c r="H11" s="77">
        <f t="shared" si="0"/>
        <v>123953607.34999999</v>
      </c>
      <c r="I11" s="77">
        <f t="shared" ref="I11:I30" si="1">H11</f>
        <v>123953607.34999999</v>
      </c>
      <c r="J11" s="118"/>
      <c r="K11" s="2"/>
      <c r="L11" s="156" t="s">
        <v>1126</v>
      </c>
    </row>
    <row r="12" spans="1:12" ht="12.75" x14ac:dyDescent="0.2">
      <c r="A12" s="34" t="s">
        <v>276</v>
      </c>
      <c r="B12" s="147">
        <v>42916</v>
      </c>
      <c r="C12" s="147">
        <v>43800</v>
      </c>
      <c r="D12" s="96">
        <v>40</v>
      </c>
      <c r="E12" s="102">
        <v>129281.25</v>
      </c>
      <c r="F12" s="22"/>
      <c r="G12" s="22">
        <v>143997.88</v>
      </c>
      <c r="H12" s="77">
        <f t="shared" si="0"/>
        <v>273279.13</v>
      </c>
      <c r="I12" s="77">
        <f t="shared" si="1"/>
        <v>273279.13</v>
      </c>
      <c r="J12" s="118"/>
      <c r="K12" s="2"/>
      <c r="L12" s="155"/>
    </row>
    <row r="13" spans="1:12" ht="31.5" customHeight="1" x14ac:dyDescent="0.2">
      <c r="A13" s="29" t="s">
        <v>257</v>
      </c>
      <c r="B13" s="147">
        <v>1980</v>
      </c>
      <c r="C13" s="147">
        <v>43190</v>
      </c>
      <c r="D13" s="96">
        <v>15</v>
      </c>
      <c r="E13" s="103"/>
      <c r="F13" s="22">
        <v>1159171.18</v>
      </c>
      <c r="G13" s="22">
        <v>7369.34</v>
      </c>
      <c r="H13" s="77">
        <f t="shared" si="0"/>
        <v>1166540.52</v>
      </c>
      <c r="I13" s="77">
        <f>H13</f>
        <v>1166540.52</v>
      </c>
      <c r="J13" s="25"/>
      <c r="K13" s="27"/>
      <c r="L13" s="155"/>
    </row>
    <row r="14" spans="1:12" ht="24" x14ac:dyDescent="0.2">
      <c r="A14" s="34" t="s">
        <v>41</v>
      </c>
      <c r="B14" s="147">
        <v>41547</v>
      </c>
      <c r="C14" s="147">
        <v>43464</v>
      </c>
      <c r="D14" s="96">
        <v>40</v>
      </c>
      <c r="E14" s="22">
        <f>377118.64+20000</f>
        <v>397118.64</v>
      </c>
      <c r="F14" s="22"/>
      <c r="G14" s="22">
        <v>7539.41</v>
      </c>
      <c r="H14" s="77">
        <f t="shared" si="0"/>
        <v>404658.05</v>
      </c>
      <c r="I14" s="77">
        <f t="shared" si="1"/>
        <v>404658.05</v>
      </c>
      <c r="J14" s="118"/>
      <c r="K14" s="2"/>
      <c r="L14" s="155"/>
    </row>
    <row r="15" spans="1:12" ht="24" x14ac:dyDescent="0.2">
      <c r="A15" s="34" t="s">
        <v>16</v>
      </c>
      <c r="B15" s="147">
        <v>41268</v>
      </c>
      <c r="C15" s="147">
        <v>43617</v>
      </c>
      <c r="D15" s="96">
        <v>50</v>
      </c>
      <c r="E15" s="102">
        <v>5243373.83</v>
      </c>
      <c r="F15" s="22">
        <f>11875462.66+4790060.24+105316</f>
        <v>16770838.9</v>
      </c>
      <c r="G15" s="22">
        <f>124311.16+1157162.23</f>
        <v>1281473.3899999999</v>
      </c>
      <c r="H15" s="77">
        <f t="shared" si="0"/>
        <v>23295686.120000001</v>
      </c>
      <c r="I15" s="77">
        <f t="shared" si="1"/>
        <v>23295686.120000001</v>
      </c>
      <c r="J15" s="118"/>
      <c r="K15" s="2"/>
      <c r="L15" s="156" t="s">
        <v>1127</v>
      </c>
    </row>
    <row r="16" spans="1:12" ht="24" customHeight="1" x14ac:dyDescent="0.2">
      <c r="A16" s="34" t="s">
        <v>25</v>
      </c>
      <c r="B16" s="147">
        <v>41547</v>
      </c>
      <c r="C16" s="147">
        <v>43221</v>
      </c>
      <c r="D16" s="96">
        <v>95</v>
      </c>
      <c r="E16" s="22">
        <v>296610.17</v>
      </c>
      <c r="F16" s="22">
        <f>3999861.49+7182395.78+2229154.65</f>
        <v>13411411.92</v>
      </c>
      <c r="G16" s="22">
        <v>188706.17</v>
      </c>
      <c r="H16" s="77">
        <f t="shared" si="0"/>
        <v>13896728.26</v>
      </c>
      <c r="I16" s="77">
        <f t="shared" si="1"/>
        <v>13896728.26</v>
      </c>
      <c r="J16" s="118"/>
      <c r="K16" s="2"/>
      <c r="L16" s="155"/>
    </row>
    <row r="17" spans="1:12" ht="24" customHeight="1" x14ac:dyDescent="0.2">
      <c r="A17" s="34" t="s">
        <v>26</v>
      </c>
      <c r="B17" s="147">
        <v>41547</v>
      </c>
      <c r="C17" s="147">
        <v>43221</v>
      </c>
      <c r="D17" s="96">
        <v>95</v>
      </c>
      <c r="E17" s="22">
        <v>186440.68</v>
      </c>
      <c r="F17" s="22">
        <f>2997814.91+4063643.54+1146865.28</f>
        <v>8208323.7300000004</v>
      </c>
      <c r="G17" s="22">
        <v>118766.88</v>
      </c>
      <c r="H17" s="77">
        <f t="shared" si="0"/>
        <v>8513531.290000001</v>
      </c>
      <c r="I17" s="77">
        <f t="shared" si="1"/>
        <v>8513531.290000001</v>
      </c>
      <c r="J17" s="118"/>
      <c r="K17" s="2"/>
      <c r="L17" s="155"/>
    </row>
    <row r="18" spans="1:12" ht="27.75" customHeight="1" x14ac:dyDescent="0.2">
      <c r="A18" s="35" t="s">
        <v>143</v>
      </c>
      <c r="B18" s="147">
        <v>42978</v>
      </c>
      <c r="C18" s="147">
        <v>43221</v>
      </c>
      <c r="D18" s="96">
        <v>50</v>
      </c>
      <c r="E18" s="103">
        <v>58290.22</v>
      </c>
      <c r="F18" s="103">
        <v>534083.03</v>
      </c>
      <c r="G18" s="22">
        <v>5997.98</v>
      </c>
      <c r="H18" s="77">
        <f t="shared" si="0"/>
        <v>598371.23</v>
      </c>
      <c r="I18" s="77">
        <f>H18</f>
        <v>598371.23</v>
      </c>
      <c r="J18" s="118"/>
      <c r="K18" s="2"/>
      <c r="L18" s="155"/>
    </row>
    <row r="19" spans="1:12" ht="24" x14ac:dyDescent="0.2">
      <c r="A19" s="35" t="s">
        <v>277</v>
      </c>
      <c r="B19" s="147">
        <v>43069</v>
      </c>
      <c r="C19" s="147">
        <v>43464</v>
      </c>
      <c r="D19" s="96">
        <v>50</v>
      </c>
      <c r="E19" s="103"/>
      <c r="F19" s="103">
        <v>185620.84</v>
      </c>
      <c r="G19" s="103">
        <v>2737.91</v>
      </c>
      <c r="H19" s="77">
        <f t="shared" si="0"/>
        <v>188358.75</v>
      </c>
      <c r="I19" s="77">
        <f t="shared" si="1"/>
        <v>188358.75</v>
      </c>
      <c r="J19" s="118"/>
      <c r="K19" s="2"/>
      <c r="L19" s="155"/>
    </row>
    <row r="20" spans="1:12" ht="36" x14ac:dyDescent="0.2">
      <c r="A20" s="35" t="s">
        <v>278</v>
      </c>
      <c r="B20" s="147">
        <v>43069</v>
      </c>
      <c r="C20" s="147">
        <v>43465</v>
      </c>
      <c r="D20" s="96">
        <v>40</v>
      </c>
      <c r="E20" s="103">
        <v>394687.11</v>
      </c>
      <c r="F20" s="103"/>
      <c r="G20" s="103">
        <v>5821.64</v>
      </c>
      <c r="H20" s="77">
        <f t="shared" si="0"/>
        <v>400508.75</v>
      </c>
      <c r="I20" s="77">
        <f t="shared" si="1"/>
        <v>400508.75</v>
      </c>
      <c r="J20" s="118"/>
      <c r="K20" s="2"/>
      <c r="L20" s="155"/>
    </row>
    <row r="21" spans="1:12" x14ac:dyDescent="0.2">
      <c r="A21" s="29" t="s">
        <v>279</v>
      </c>
      <c r="B21" s="147">
        <v>43069</v>
      </c>
      <c r="C21" s="147">
        <v>43464</v>
      </c>
      <c r="D21" s="96">
        <v>40</v>
      </c>
      <c r="E21" s="22">
        <v>174478.69</v>
      </c>
      <c r="F21" s="22"/>
      <c r="G21" s="22">
        <v>2573.56</v>
      </c>
      <c r="H21" s="77">
        <f t="shared" si="0"/>
        <v>177052.25</v>
      </c>
      <c r="I21" s="77">
        <f t="shared" si="1"/>
        <v>177052.25</v>
      </c>
      <c r="J21" s="119"/>
      <c r="K21" s="28"/>
      <c r="L21" s="155"/>
    </row>
    <row r="22" spans="1:12" ht="24" x14ac:dyDescent="0.2">
      <c r="A22" s="29" t="s">
        <v>280</v>
      </c>
      <c r="B22" s="147">
        <v>43069</v>
      </c>
      <c r="C22" s="147">
        <v>43464</v>
      </c>
      <c r="D22" s="96">
        <v>40</v>
      </c>
      <c r="E22" s="22">
        <v>174478.69</v>
      </c>
      <c r="F22" s="22"/>
      <c r="G22" s="22">
        <v>2573.56</v>
      </c>
      <c r="H22" s="77">
        <f t="shared" si="0"/>
        <v>177052.25</v>
      </c>
      <c r="I22" s="77">
        <f t="shared" ref="I22" si="2">H22</f>
        <v>177052.25</v>
      </c>
      <c r="J22" s="119"/>
      <c r="K22" s="28"/>
      <c r="L22" s="155"/>
    </row>
    <row r="23" spans="1:12" ht="36" x14ac:dyDescent="0.2">
      <c r="A23" s="29" t="s">
        <v>281</v>
      </c>
      <c r="B23" s="147">
        <v>43069</v>
      </c>
      <c r="C23" s="147">
        <v>43464</v>
      </c>
      <c r="D23" s="96">
        <v>40</v>
      </c>
      <c r="E23" s="22">
        <v>174478.68</v>
      </c>
      <c r="F23" s="22"/>
      <c r="G23" s="22">
        <v>2573.56</v>
      </c>
      <c r="H23" s="77">
        <f t="shared" si="0"/>
        <v>177052.24</v>
      </c>
      <c r="I23" s="77">
        <f t="shared" ref="I23:I28" si="3">H23</f>
        <v>177052.24</v>
      </c>
      <c r="J23" s="119"/>
      <c r="K23" s="28"/>
      <c r="L23" s="155"/>
    </row>
    <row r="24" spans="1:12" ht="24" x14ac:dyDescent="0.2">
      <c r="A24" s="29" t="s">
        <v>282</v>
      </c>
      <c r="B24" s="147">
        <v>43069</v>
      </c>
      <c r="C24" s="147">
        <v>43464</v>
      </c>
      <c r="D24" s="96">
        <v>40</v>
      </c>
      <c r="E24" s="22">
        <v>174478.69</v>
      </c>
      <c r="F24" s="22"/>
      <c r="G24" s="22">
        <v>2573.56</v>
      </c>
      <c r="H24" s="77">
        <f t="shared" si="0"/>
        <v>177052.25</v>
      </c>
      <c r="I24" s="77">
        <f t="shared" si="3"/>
        <v>177052.25</v>
      </c>
      <c r="J24" s="119"/>
      <c r="K24" s="28"/>
      <c r="L24" s="155"/>
    </row>
    <row r="25" spans="1:12" x14ac:dyDescent="0.2">
      <c r="A25" s="29" t="s">
        <v>283</v>
      </c>
      <c r="B25" s="147">
        <v>43069</v>
      </c>
      <c r="C25" s="147">
        <v>43464</v>
      </c>
      <c r="D25" s="96">
        <v>40</v>
      </c>
      <c r="E25" s="22">
        <v>174478.69</v>
      </c>
      <c r="F25" s="22"/>
      <c r="G25" s="22">
        <v>2573.56</v>
      </c>
      <c r="H25" s="77">
        <f t="shared" si="0"/>
        <v>177052.25</v>
      </c>
      <c r="I25" s="77">
        <f t="shared" si="3"/>
        <v>177052.25</v>
      </c>
      <c r="J25" s="119"/>
      <c r="K25" s="28"/>
      <c r="L25" s="155"/>
    </row>
    <row r="26" spans="1:12" x14ac:dyDescent="0.2">
      <c r="A26" s="29" t="s">
        <v>284</v>
      </c>
      <c r="B26" s="147">
        <v>43069</v>
      </c>
      <c r="C26" s="147">
        <v>43464</v>
      </c>
      <c r="D26" s="96">
        <v>40</v>
      </c>
      <c r="E26" s="22">
        <v>174478.69</v>
      </c>
      <c r="F26" s="22"/>
      <c r="G26" s="22">
        <v>2573.56</v>
      </c>
      <c r="H26" s="77">
        <f t="shared" si="0"/>
        <v>177052.25</v>
      </c>
      <c r="I26" s="77">
        <f t="shared" si="3"/>
        <v>177052.25</v>
      </c>
      <c r="J26" s="119"/>
      <c r="K26" s="28"/>
      <c r="L26" s="155"/>
    </row>
    <row r="27" spans="1:12" ht="12" customHeight="1" x14ac:dyDescent="0.2">
      <c r="A27" s="29" t="s">
        <v>131</v>
      </c>
      <c r="B27" s="147">
        <v>42825</v>
      </c>
      <c r="C27" s="148">
        <v>43830</v>
      </c>
      <c r="D27" s="101">
        <v>50</v>
      </c>
      <c r="E27" s="22">
        <f>877255.86+4038899.1</f>
        <v>4916154.96</v>
      </c>
      <c r="F27" s="22">
        <v>17057.2</v>
      </c>
      <c r="G27" s="22">
        <v>71287</v>
      </c>
      <c r="H27" s="77">
        <f t="shared" si="0"/>
        <v>5004499.16</v>
      </c>
      <c r="I27" s="77">
        <f t="shared" si="3"/>
        <v>5004499.16</v>
      </c>
      <c r="J27" s="118"/>
      <c r="K27" s="2"/>
      <c r="L27" s="155"/>
    </row>
    <row r="28" spans="1:12" ht="32.25" customHeight="1" x14ac:dyDescent="0.2">
      <c r="A28" s="36" t="s">
        <v>285</v>
      </c>
      <c r="B28" s="147">
        <v>43089</v>
      </c>
      <c r="C28" s="147">
        <v>43617</v>
      </c>
      <c r="D28" s="96">
        <v>40</v>
      </c>
      <c r="E28" s="22">
        <v>13961.96</v>
      </c>
      <c r="F28" s="22"/>
      <c r="G28" s="22"/>
      <c r="H28" s="77">
        <f t="shared" si="0"/>
        <v>13961.96</v>
      </c>
      <c r="I28" s="77">
        <f t="shared" si="3"/>
        <v>13961.96</v>
      </c>
      <c r="J28" s="118"/>
      <c r="K28" s="2"/>
      <c r="L28" s="155"/>
    </row>
    <row r="29" spans="1:12" ht="12" customHeight="1" x14ac:dyDescent="0.2">
      <c r="A29" s="29" t="s">
        <v>66</v>
      </c>
      <c r="B29" s="147">
        <v>42475</v>
      </c>
      <c r="C29" s="148">
        <v>43435</v>
      </c>
      <c r="D29" s="101">
        <v>50</v>
      </c>
      <c r="E29" s="22">
        <f>116216.5+578783.5</f>
        <v>695000</v>
      </c>
      <c r="F29" s="22">
        <f>773103.42</f>
        <v>773103.42</v>
      </c>
      <c r="G29" s="22">
        <f>5562.5+17000+19830.12</f>
        <v>42392.619999999995</v>
      </c>
      <c r="H29" s="77">
        <f t="shared" si="0"/>
        <v>1510496.04</v>
      </c>
      <c r="I29" s="77">
        <f t="shared" si="1"/>
        <v>1510496.04</v>
      </c>
      <c r="J29" s="118"/>
      <c r="K29" s="2"/>
      <c r="L29" s="155"/>
    </row>
    <row r="30" spans="1:12" ht="28.5" customHeight="1" x14ac:dyDescent="0.2">
      <c r="A30" s="29" t="s">
        <v>286</v>
      </c>
      <c r="B30" s="147">
        <v>43069</v>
      </c>
      <c r="C30" s="147">
        <v>43464</v>
      </c>
      <c r="D30" s="101">
        <v>50</v>
      </c>
      <c r="E30" s="22">
        <v>59359.040000000001</v>
      </c>
      <c r="F30" s="22">
        <v>875.54</v>
      </c>
      <c r="G30" s="22"/>
      <c r="H30" s="77">
        <f t="shared" si="0"/>
        <v>60234.58</v>
      </c>
      <c r="I30" s="77">
        <f t="shared" si="1"/>
        <v>60234.58</v>
      </c>
      <c r="J30" s="118"/>
      <c r="K30" s="2"/>
      <c r="L30" s="155"/>
    </row>
    <row r="31" spans="1:12" ht="31.5" customHeight="1" x14ac:dyDescent="0.2">
      <c r="A31" s="29" t="s">
        <v>287</v>
      </c>
      <c r="B31" s="147">
        <v>43069</v>
      </c>
      <c r="C31" s="147">
        <v>43464</v>
      </c>
      <c r="D31" s="101">
        <v>50</v>
      </c>
      <c r="E31" s="22">
        <v>59359.040000000001</v>
      </c>
      <c r="F31" s="22">
        <v>875.54</v>
      </c>
      <c r="G31" s="22"/>
      <c r="H31" s="77">
        <f t="shared" si="0"/>
        <v>60234.58</v>
      </c>
      <c r="I31" s="77">
        <f t="shared" ref="I31" si="4">H31</f>
        <v>60234.58</v>
      </c>
      <c r="J31" s="118"/>
      <c r="K31" s="2"/>
      <c r="L31" s="157"/>
    </row>
    <row r="32" spans="1:12" ht="12.75" x14ac:dyDescent="0.2">
      <c r="A32" s="29"/>
      <c r="B32" s="147"/>
      <c r="C32" s="147"/>
      <c r="D32" s="96"/>
      <c r="E32" s="100">
        <f>SUM(E10:E31)</f>
        <v>18050736.289999995</v>
      </c>
      <c r="F32" s="100">
        <f>SUM(F10:F31)</f>
        <v>157421861.40999994</v>
      </c>
      <c r="G32" s="100">
        <f>SUM(G10:G31)</f>
        <v>5399400.7799999975</v>
      </c>
      <c r="H32" s="87">
        <f>SUM(H10:H31)</f>
        <v>180871998.47999999</v>
      </c>
      <c r="I32" s="87">
        <f>SUM(I10:I31)</f>
        <v>180871998.47999999</v>
      </c>
      <c r="J32" s="22"/>
      <c r="K32" s="33"/>
      <c r="L32" s="157"/>
    </row>
    <row r="33" spans="1:12" ht="19.5" customHeight="1" x14ac:dyDescent="0.2">
      <c r="A33" s="32" t="s">
        <v>32</v>
      </c>
      <c r="B33" s="147"/>
      <c r="C33" s="147"/>
      <c r="D33" s="96"/>
      <c r="E33" s="22"/>
      <c r="F33" s="22"/>
      <c r="G33" s="22"/>
      <c r="H33" s="87"/>
      <c r="I33" s="87"/>
      <c r="J33" s="22"/>
      <c r="K33" s="3"/>
      <c r="L33" s="157"/>
    </row>
    <row r="34" spans="1:12" s="8" customFormat="1" ht="24" x14ac:dyDescent="0.2">
      <c r="A34" s="29" t="s">
        <v>5</v>
      </c>
      <c r="B34" s="147">
        <v>40908</v>
      </c>
      <c r="C34" s="148">
        <v>43373</v>
      </c>
      <c r="D34" s="101">
        <v>80</v>
      </c>
      <c r="E34" s="22">
        <f>13200000+2707301.99+580136.14</f>
        <v>16487438.130000001</v>
      </c>
      <c r="F34" s="22">
        <f>40759382.84+14620266.69</f>
        <v>55379649.530000001</v>
      </c>
      <c r="G34" s="102">
        <f>3653177.36+149326.33+99169.94+99169.94+100259.74+40218.8+5670.35+315.02+1599546.72+574503.27+386757.42+1265094.34+30524.47-69396.41</f>
        <v>7934337.29</v>
      </c>
      <c r="H34" s="77">
        <f t="shared" ref="H34:H51" si="5">F34+E34+G34</f>
        <v>79801424.950000003</v>
      </c>
      <c r="I34" s="77">
        <f>H34</f>
        <v>79801424.950000003</v>
      </c>
      <c r="J34" s="22"/>
      <c r="K34" s="2"/>
      <c r="L34" s="157" t="s">
        <v>1128</v>
      </c>
    </row>
    <row r="35" spans="1:12" ht="27.75" customHeight="1" x14ac:dyDescent="0.2">
      <c r="A35" s="34" t="s">
        <v>33</v>
      </c>
      <c r="B35" s="148">
        <v>41453</v>
      </c>
      <c r="C35" s="148">
        <v>43830</v>
      </c>
      <c r="D35" s="101">
        <v>90</v>
      </c>
      <c r="E35" s="22">
        <v>29999152.550000001</v>
      </c>
      <c r="F35" s="22">
        <f>95787807.63+19171271.22+47818712.57+16863329.81+82013971.52+76435731.88+16440675</f>
        <v>354531499.63</v>
      </c>
      <c r="G35" s="22">
        <f>28393126.87+12138785.06+2762993.51+2432526.53+2463689.24+2238316.11+2460368.89+1787065.04+1720876.28+2746129.26+4105308.63</f>
        <v>63249185.420000002</v>
      </c>
      <c r="H35" s="77">
        <f t="shared" si="5"/>
        <v>447779837.60000002</v>
      </c>
      <c r="I35" s="77">
        <f>H35</f>
        <v>447779837.60000002</v>
      </c>
      <c r="J35" s="22"/>
      <c r="K35" s="2"/>
      <c r="L35" s="156" t="s">
        <v>1129</v>
      </c>
    </row>
    <row r="36" spans="1:12" ht="27.75" customHeight="1" x14ac:dyDescent="0.2">
      <c r="A36" s="29" t="s">
        <v>142</v>
      </c>
      <c r="B36" s="147">
        <v>42674</v>
      </c>
      <c r="C36" s="148">
        <v>43435</v>
      </c>
      <c r="D36" s="101">
        <v>50</v>
      </c>
      <c r="E36" s="22">
        <f>3236678.76+578321.24</f>
        <v>3815000</v>
      </c>
      <c r="F36" s="22">
        <v>294183.02</v>
      </c>
      <c r="G36" s="22">
        <f>56271.25+117025.97+0.53+340.1</f>
        <v>173637.85</v>
      </c>
      <c r="H36" s="77">
        <f>F36+E36+G36</f>
        <v>4282820.87</v>
      </c>
      <c r="I36" s="77">
        <f>H36</f>
        <v>4282820.87</v>
      </c>
      <c r="J36" s="31"/>
      <c r="K36" s="2"/>
      <c r="L36" s="157" t="s">
        <v>1130</v>
      </c>
    </row>
    <row r="37" spans="1:12" ht="12.75" customHeight="1" x14ac:dyDescent="0.2">
      <c r="A37" s="34" t="s">
        <v>288</v>
      </c>
      <c r="B37" s="148">
        <v>43039</v>
      </c>
      <c r="C37" s="148">
        <v>44196</v>
      </c>
      <c r="D37" s="101">
        <v>30</v>
      </c>
      <c r="E37" s="22">
        <v>3227106.13</v>
      </c>
      <c r="F37" s="22"/>
      <c r="G37" s="22">
        <f>62694.52+4375.83+77241</f>
        <v>144311.34999999998</v>
      </c>
      <c r="H37" s="77">
        <f t="shared" si="5"/>
        <v>3371417.48</v>
      </c>
      <c r="I37" s="77">
        <f>H37</f>
        <v>3371417.48</v>
      </c>
      <c r="J37" s="22"/>
      <c r="K37" s="2"/>
      <c r="L37" s="158"/>
    </row>
    <row r="38" spans="1:12" ht="12.75" customHeight="1" x14ac:dyDescent="0.2">
      <c r="A38" s="29" t="s">
        <v>68</v>
      </c>
      <c r="B38" s="147">
        <v>42654</v>
      </c>
      <c r="C38" s="148">
        <v>44196</v>
      </c>
      <c r="D38" s="101">
        <v>40</v>
      </c>
      <c r="E38" s="22">
        <f>10164299.64+852649.51</f>
        <v>11016949.15</v>
      </c>
      <c r="F38" s="22"/>
      <c r="G38" s="102">
        <f>162500+37464.63+66355.04+330510.14+325192.48+328677.01+1652542.5+330307.52+550847.5+370629.32</f>
        <v>4155026.1399999997</v>
      </c>
      <c r="H38" s="77">
        <f t="shared" si="5"/>
        <v>15171975.289999999</v>
      </c>
      <c r="I38" s="77">
        <f t="shared" ref="I38:I51" si="6">H38</f>
        <v>15171975.289999999</v>
      </c>
      <c r="J38" s="120"/>
      <c r="K38" s="2"/>
      <c r="L38" s="157"/>
    </row>
    <row r="39" spans="1:12" ht="12" customHeight="1" x14ac:dyDescent="0.2">
      <c r="A39" s="29" t="s">
        <v>7</v>
      </c>
      <c r="B39" s="147">
        <v>40908</v>
      </c>
      <c r="C39" s="148">
        <v>43465</v>
      </c>
      <c r="D39" s="101">
        <v>40</v>
      </c>
      <c r="E39" s="102">
        <v>16052542.369999999</v>
      </c>
      <c r="F39" s="22"/>
      <c r="G39" s="102">
        <f>5805556.4+306688.84+239437.02+239437+242068.17+131184.75+78873.25</f>
        <v>7043245.4299999997</v>
      </c>
      <c r="H39" s="77">
        <f t="shared" si="5"/>
        <v>23095787.799999997</v>
      </c>
      <c r="I39" s="77">
        <f t="shared" si="6"/>
        <v>23095787.799999997</v>
      </c>
      <c r="J39" s="120"/>
      <c r="K39" s="2"/>
      <c r="L39" s="157"/>
    </row>
    <row r="40" spans="1:12" ht="24" x14ac:dyDescent="0.2">
      <c r="A40" s="29" t="s">
        <v>289</v>
      </c>
      <c r="B40" s="147">
        <v>43039</v>
      </c>
      <c r="C40" s="147">
        <v>43738</v>
      </c>
      <c r="D40" s="101">
        <v>30</v>
      </c>
      <c r="E40" s="102">
        <v>4525233.8099999996</v>
      </c>
      <c r="F40" s="22"/>
      <c r="G40" s="22">
        <f>92277.64+9434.01+112911.81</f>
        <v>214623.46</v>
      </c>
      <c r="H40" s="77">
        <f t="shared" si="5"/>
        <v>4739857.2699999996</v>
      </c>
      <c r="I40" s="77">
        <f t="shared" si="6"/>
        <v>4739857.2699999996</v>
      </c>
      <c r="J40" s="31"/>
      <c r="K40" s="2"/>
      <c r="L40" s="157"/>
    </row>
    <row r="41" spans="1:12" ht="28.5" customHeight="1" x14ac:dyDescent="0.2">
      <c r="A41" s="29" t="s">
        <v>8</v>
      </c>
      <c r="B41" s="147">
        <v>40908</v>
      </c>
      <c r="C41" s="148">
        <v>43435</v>
      </c>
      <c r="D41" s="101">
        <v>50</v>
      </c>
      <c r="E41" s="22">
        <f>9900000+1430025.49+306434.03</f>
        <v>11636459.52</v>
      </c>
      <c r="F41" s="22">
        <v>50041.23</v>
      </c>
      <c r="G41" s="102">
        <f>3317700.86+173314.33+134628.77+134628.77+136108.24+78329.93+50195.3+2788.63+30132.68+349086.47+13454.42+312909.56+42238.9</f>
        <v>4775516.8599999994</v>
      </c>
      <c r="H41" s="77">
        <f t="shared" si="5"/>
        <v>16462017.609999999</v>
      </c>
      <c r="I41" s="77">
        <f t="shared" si="6"/>
        <v>16462017.609999999</v>
      </c>
      <c r="J41" s="22"/>
      <c r="K41" s="2"/>
      <c r="L41" s="157" t="s">
        <v>1151</v>
      </c>
    </row>
    <row r="42" spans="1:12" ht="30" customHeight="1" x14ac:dyDescent="0.2">
      <c r="A42" s="29" t="s">
        <v>9</v>
      </c>
      <c r="B42" s="147">
        <v>40908</v>
      </c>
      <c r="C42" s="148">
        <v>43435</v>
      </c>
      <c r="D42" s="101">
        <v>50</v>
      </c>
      <c r="E42" s="22">
        <f>9900000+2653796.74+568670.73</f>
        <v>13122467.470000001</v>
      </c>
      <c r="F42" s="22">
        <v>86834.66</v>
      </c>
      <c r="G42" s="102">
        <f>3304642.14+173314.33+134628.75+134628.76+136108.23+78329.94+50195.3+2788.63+493418.86+25085.57+379113.82+78146.41</f>
        <v>4990400.7400000012</v>
      </c>
      <c r="H42" s="77">
        <f t="shared" si="5"/>
        <v>18199702.870000001</v>
      </c>
      <c r="I42" s="77">
        <f t="shared" si="6"/>
        <v>18199702.870000001</v>
      </c>
      <c r="J42" s="120"/>
      <c r="K42" s="2"/>
      <c r="L42" s="157" t="s">
        <v>1131</v>
      </c>
    </row>
    <row r="43" spans="1:12" ht="30.75" customHeight="1" x14ac:dyDescent="0.2">
      <c r="A43" s="29" t="s">
        <v>70</v>
      </c>
      <c r="B43" s="147">
        <v>42654</v>
      </c>
      <c r="C43" s="148">
        <v>43465</v>
      </c>
      <c r="D43" s="101">
        <v>50</v>
      </c>
      <c r="E43" s="22">
        <f>7502441.36+286700.05</f>
        <v>7789141.4100000001</v>
      </c>
      <c r="F43" s="22"/>
      <c r="G43" s="22">
        <f>122500+720340+27653.3+48977.78+288136+264803.82+1072829.6+286700.05+43220+101283.97+999.98+241716.92+302389.73+264363.81+11492.14</f>
        <v>3797407.1</v>
      </c>
      <c r="H43" s="77">
        <f t="shared" si="5"/>
        <v>11586548.51</v>
      </c>
      <c r="I43" s="77">
        <f t="shared" si="6"/>
        <v>11586548.51</v>
      </c>
      <c r="J43" s="22"/>
      <c r="K43" s="2"/>
      <c r="L43" s="159" t="s">
        <v>1132</v>
      </c>
    </row>
    <row r="44" spans="1:12" ht="12.75" customHeight="1" x14ac:dyDescent="0.2">
      <c r="A44" s="29" t="s">
        <v>290</v>
      </c>
      <c r="B44" s="147">
        <v>43039</v>
      </c>
      <c r="C44" s="148">
        <v>43738</v>
      </c>
      <c r="D44" s="101">
        <v>30</v>
      </c>
      <c r="E44" s="22">
        <v>8752097.25</v>
      </c>
      <c r="F44" s="22"/>
      <c r="G44" s="102">
        <f>183865.03+19876.27+220078.57+43.6</f>
        <v>423863.47</v>
      </c>
      <c r="H44" s="77">
        <f t="shared" si="5"/>
        <v>9175960.7200000007</v>
      </c>
      <c r="I44" s="77">
        <f t="shared" si="6"/>
        <v>9175960.7200000007</v>
      </c>
      <c r="J44" s="120"/>
      <c r="K44" s="2"/>
      <c r="L44" s="157"/>
    </row>
    <row r="45" spans="1:12" ht="33.75" customHeight="1" x14ac:dyDescent="0.2">
      <c r="A45" s="29" t="s">
        <v>291</v>
      </c>
      <c r="B45" s="147">
        <v>43039</v>
      </c>
      <c r="C45" s="148">
        <v>43738</v>
      </c>
      <c r="D45" s="101">
        <v>30</v>
      </c>
      <c r="E45" s="22">
        <v>5391651.2999999998</v>
      </c>
      <c r="F45" s="22"/>
      <c r="G45" s="102">
        <f>113145.72+11694.11+134720.55</f>
        <v>259560.38</v>
      </c>
      <c r="H45" s="77">
        <f t="shared" si="5"/>
        <v>5651211.6799999997</v>
      </c>
      <c r="I45" s="77">
        <f t="shared" si="6"/>
        <v>5651211.6799999997</v>
      </c>
      <c r="J45" s="120"/>
      <c r="K45" s="2"/>
      <c r="L45" s="157"/>
    </row>
    <row r="46" spans="1:12" ht="21.75" customHeight="1" x14ac:dyDescent="0.2">
      <c r="A46" s="35" t="s">
        <v>292</v>
      </c>
      <c r="B46" s="147">
        <v>43039</v>
      </c>
      <c r="C46" s="148">
        <v>43738</v>
      </c>
      <c r="D46" s="101">
        <v>30</v>
      </c>
      <c r="E46" s="22">
        <v>3891105.89</v>
      </c>
      <c r="F46" s="22"/>
      <c r="G46" s="22">
        <f>79125.37+5922.67+93589.94</f>
        <v>178637.97999999998</v>
      </c>
      <c r="H46" s="77">
        <f t="shared" si="5"/>
        <v>4069743.87</v>
      </c>
      <c r="I46" s="77">
        <f t="shared" si="6"/>
        <v>4069743.87</v>
      </c>
      <c r="J46" s="22"/>
      <c r="K46" s="2"/>
      <c r="L46" s="157"/>
    </row>
    <row r="47" spans="1:12" ht="24" x14ac:dyDescent="0.2">
      <c r="A47" s="29" t="s">
        <v>85</v>
      </c>
      <c r="B47" s="147">
        <v>42674</v>
      </c>
      <c r="C47" s="148">
        <v>43800</v>
      </c>
      <c r="D47" s="101">
        <v>75</v>
      </c>
      <c r="E47" s="22">
        <f>11733575.24+826526.46</f>
        <v>12560101.699999999</v>
      </c>
      <c r="F47" s="22">
        <v>36110025.119999997</v>
      </c>
      <c r="G47" s="102">
        <f>185261.5+887000+887000+1029096.98+1028750+576035.37+6521.23-13042.46</f>
        <v>4586622.62</v>
      </c>
      <c r="H47" s="77">
        <f>F47+E47+G47</f>
        <v>53256749.43999999</v>
      </c>
      <c r="I47" s="77">
        <f>H47</f>
        <v>53256749.43999999</v>
      </c>
      <c r="J47" s="31"/>
      <c r="K47" s="2"/>
      <c r="L47" s="157" t="s">
        <v>1133</v>
      </c>
    </row>
    <row r="48" spans="1:12" ht="21.75" customHeight="1" x14ac:dyDescent="0.2">
      <c r="A48" s="35" t="s">
        <v>293</v>
      </c>
      <c r="B48" s="147">
        <v>43039</v>
      </c>
      <c r="C48" s="148">
        <v>43738</v>
      </c>
      <c r="D48" s="101">
        <v>30</v>
      </c>
      <c r="E48" s="22">
        <v>4087714.31</v>
      </c>
      <c r="F48" s="22"/>
      <c r="G48" s="22">
        <f>81944.93+7499.24+100966.17</f>
        <v>190410.34</v>
      </c>
      <c r="H48" s="77">
        <f t="shared" si="5"/>
        <v>4278124.6500000004</v>
      </c>
      <c r="I48" s="77">
        <f t="shared" si="6"/>
        <v>4278124.6500000004</v>
      </c>
      <c r="J48" s="22"/>
      <c r="K48" s="2"/>
      <c r="L48" s="157"/>
    </row>
    <row r="49" spans="1:41" ht="21.75" customHeight="1" x14ac:dyDescent="0.2">
      <c r="A49" s="35" t="s">
        <v>294</v>
      </c>
      <c r="B49" s="147">
        <v>43039</v>
      </c>
      <c r="C49" s="148">
        <v>43738</v>
      </c>
      <c r="D49" s="101">
        <v>30</v>
      </c>
      <c r="E49" s="22">
        <v>4777548.47</v>
      </c>
      <c r="F49" s="22"/>
      <c r="G49" s="22">
        <f>9737.68+96843.88+118362.66</f>
        <v>224944.22</v>
      </c>
      <c r="H49" s="77">
        <f t="shared" si="5"/>
        <v>5002492.6899999995</v>
      </c>
      <c r="I49" s="77">
        <f t="shared" si="6"/>
        <v>5002492.6899999995</v>
      </c>
      <c r="J49" s="22"/>
      <c r="K49" s="2"/>
      <c r="L49" s="155"/>
    </row>
    <row r="50" spans="1:41" ht="21.75" customHeight="1" x14ac:dyDescent="0.2">
      <c r="A50" s="35" t="s">
        <v>295</v>
      </c>
      <c r="B50" s="147">
        <v>43039</v>
      </c>
      <c r="C50" s="148">
        <v>44196</v>
      </c>
      <c r="D50" s="101">
        <v>30</v>
      </c>
      <c r="E50" s="22">
        <v>4951790.67</v>
      </c>
      <c r="F50" s="22"/>
      <c r="G50" s="22">
        <f>98752.93+11167.41+124002.03</f>
        <v>233922.37</v>
      </c>
      <c r="H50" s="77">
        <f t="shared" si="5"/>
        <v>5185713.04</v>
      </c>
      <c r="I50" s="77">
        <f t="shared" si="6"/>
        <v>5185713.04</v>
      </c>
      <c r="J50" s="22"/>
      <c r="K50" s="2"/>
      <c r="L50" s="155"/>
    </row>
    <row r="51" spans="1:41" ht="12.75" customHeight="1" x14ac:dyDescent="0.2">
      <c r="A51" s="35" t="s">
        <v>296</v>
      </c>
      <c r="B51" s="147">
        <v>43039</v>
      </c>
      <c r="C51" s="148">
        <v>43738</v>
      </c>
      <c r="D51" s="101">
        <v>30</v>
      </c>
      <c r="E51" s="22">
        <v>3684594.83</v>
      </c>
      <c r="F51" s="22"/>
      <c r="G51" s="22">
        <f>72981.07+9433.4+93652.26</f>
        <v>176066.72999999998</v>
      </c>
      <c r="H51" s="77">
        <f t="shared" si="5"/>
        <v>3860661.56</v>
      </c>
      <c r="I51" s="77">
        <f t="shared" si="6"/>
        <v>3860661.56</v>
      </c>
      <c r="J51" s="22"/>
      <c r="K51" s="2"/>
      <c r="L51" s="155"/>
    </row>
    <row r="52" spans="1:41" ht="12.75" x14ac:dyDescent="0.2">
      <c r="A52" s="29"/>
      <c r="B52" s="147"/>
      <c r="C52" s="147"/>
      <c r="D52" s="96"/>
      <c r="E52" s="100">
        <f>SUM(E34:E51)</f>
        <v>165768094.95999998</v>
      </c>
      <c r="F52" s="100">
        <f>SUM(F34:F51)</f>
        <v>446452233.19</v>
      </c>
      <c r="G52" s="100">
        <f>SUM(G34:G51)</f>
        <v>102751719.74999999</v>
      </c>
      <c r="H52" s="87">
        <f>SUM(H34:H51)</f>
        <v>714972047.89999986</v>
      </c>
      <c r="I52" s="87">
        <f t="shared" ref="I52" si="7">H52</f>
        <v>714972047.89999986</v>
      </c>
      <c r="J52" s="22"/>
      <c r="K52" s="33"/>
      <c r="L52" s="155"/>
    </row>
    <row r="53" spans="1:41" ht="24.75" customHeight="1" x14ac:dyDescent="0.2">
      <c r="A53" s="32" t="s">
        <v>36</v>
      </c>
      <c r="B53" s="147"/>
      <c r="C53" s="148"/>
      <c r="D53" s="101"/>
      <c r="E53" s="22"/>
      <c r="F53" s="22"/>
      <c r="G53" s="22"/>
      <c r="H53" s="77"/>
      <c r="I53" s="77"/>
      <c r="J53" s="22"/>
      <c r="K53" s="2"/>
      <c r="L53" s="155"/>
    </row>
    <row r="54" spans="1:41" ht="25.5" customHeight="1" x14ac:dyDescent="0.2">
      <c r="A54" s="29" t="s">
        <v>27</v>
      </c>
      <c r="B54" s="147">
        <v>41631</v>
      </c>
      <c r="C54" s="148">
        <v>43465</v>
      </c>
      <c r="D54" s="101">
        <v>50</v>
      </c>
      <c r="E54" s="22">
        <v>1016949.15</v>
      </c>
      <c r="F54" s="22"/>
      <c r="G54" s="22">
        <v>66915.25</v>
      </c>
      <c r="H54" s="77">
        <f t="shared" ref="H54:H75" si="8">F54+E54+G54</f>
        <v>1083864.3999999999</v>
      </c>
      <c r="I54" s="77">
        <f t="shared" ref="I54:I143" si="9">H54</f>
        <v>1083864.3999999999</v>
      </c>
      <c r="J54" s="31"/>
      <c r="K54" s="2"/>
      <c r="L54" s="155"/>
    </row>
    <row r="55" spans="1:41" s="11" customFormat="1" ht="15" customHeight="1" x14ac:dyDescent="0.2">
      <c r="A55" s="35" t="s">
        <v>38</v>
      </c>
      <c r="B55" s="148">
        <v>35034</v>
      </c>
      <c r="C55" s="147">
        <v>43465</v>
      </c>
      <c r="D55" s="101">
        <v>85</v>
      </c>
      <c r="E55" s="103"/>
      <c r="F55" s="103">
        <v>950879.5</v>
      </c>
      <c r="G55" s="103">
        <v>4314199.24</v>
      </c>
      <c r="H55" s="77">
        <f t="shared" si="8"/>
        <v>5265078.74</v>
      </c>
      <c r="I55" s="77">
        <f t="shared" si="9"/>
        <v>5265078.74</v>
      </c>
      <c r="J55" s="31"/>
      <c r="K55" s="2"/>
      <c r="L55" s="15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0"/>
    </row>
    <row r="56" spans="1:41" ht="15" customHeight="1" x14ac:dyDescent="0.2">
      <c r="A56" s="35" t="s">
        <v>297</v>
      </c>
      <c r="B56" s="148">
        <v>43039</v>
      </c>
      <c r="C56" s="148">
        <v>43830</v>
      </c>
      <c r="D56" s="101">
        <v>30</v>
      </c>
      <c r="E56" s="103">
        <v>1961349.58</v>
      </c>
      <c r="F56" s="103"/>
      <c r="G56" s="103">
        <f>34790.02+5406.77</f>
        <v>40196.789999999994</v>
      </c>
      <c r="H56" s="77">
        <f t="shared" si="8"/>
        <v>2001546.37</v>
      </c>
      <c r="I56" s="77">
        <f t="shared" si="9"/>
        <v>2001546.37</v>
      </c>
      <c r="J56" s="31"/>
      <c r="K56" s="2"/>
      <c r="L56" s="155"/>
    </row>
    <row r="57" spans="1:41" ht="24" x14ac:dyDescent="0.2">
      <c r="A57" s="35" t="s">
        <v>87</v>
      </c>
      <c r="B57" s="147">
        <v>42674</v>
      </c>
      <c r="C57" s="148">
        <v>43435</v>
      </c>
      <c r="D57" s="101">
        <v>60</v>
      </c>
      <c r="E57" s="22">
        <f>302749.7+120979.12</f>
        <v>423728.82</v>
      </c>
      <c r="F57" s="22">
        <v>7745.19</v>
      </c>
      <c r="G57" s="22">
        <f>36631+7330.62+14652.4+21978.6+55000</f>
        <v>135592.62</v>
      </c>
      <c r="H57" s="77">
        <f t="shared" si="8"/>
        <v>567066.63</v>
      </c>
      <c r="I57" s="77">
        <f>H57</f>
        <v>567066.63</v>
      </c>
      <c r="J57" s="31"/>
      <c r="K57" s="2"/>
      <c r="L57" s="155"/>
    </row>
    <row r="58" spans="1:41" ht="24" x14ac:dyDescent="0.2">
      <c r="A58" s="35" t="s">
        <v>89</v>
      </c>
      <c r="B58" s="147">
        <v>42674</v>
      </c>
      <c r="C58" s="148">
        <v>43435</v>
      </c>
      <c r="D58" s="101">
        <v>50</v>
      </c>
      <c r="E58" s="22">
        <f>527654.09+267345.91</f>
        <v>795000</v>
      </c>
      <c r="F58" s="22">
        <v>45528.33</v>
      </c>
      <c r="G58" s="22">
        <f>13901.48+73736.57+73736.57+32991.44+910.13+1166.96</f>
        <v>196443.15</v>
      </c>
      <c r="H58" s="77">
        <f t="shared" si="8"/>
        <v>1036971.48</v>
      </c>
      <c r="I58" s="77">
        <f t="shared" ref="I58:I65" si="10">H58</f>
        <v>1036971.48</v>
      </c>
      <c r="J58" s="31"/>
      <c r="K58" s="2"/>
      <c r="L58" s="155"/>
    </row>
    <row r="59" spans="1:41" ht="24" x14ac:dyDescent="0.2">
      <c r="A59" s="35" t="s">
        <v>90</v>
      </c>
      <c r="B59" s="147">
        <v>42674</v>
      </c>
      <c r="C59" s="148">
        <v>43435</v>
      </c>
      <c r="D59" s="101">
        <v>50</v>
      </c>
      <c r="E59" s="22">
        <f>532231.68+230480.19</f>
        <v>762711.87000000011</v>
      </c>
      <c r="F59" s="22">
        <v>22321.93</v>
      </c>
      <c r="G59" s="102">
        <f>19672.97+73672.55+73672.54+6959.85+244.01+575.91</f>
        <v>174797.83000000002</v>
      </c>
      <c r="H59" s="77">
        <f t="shared" si="8"/>
        <v>959831.63000000012</v>
      </c>
      <c r="I59" s="77">
        <f t="shared" si="10"/>
        <v>959831.63000000012</v>
      </c>
      <c r="J59" s="31"/>
      <c r="K59" s="2"/>
      <c r="L59" s="155"/>
    </row>
    <row r="60" spans="1:41" ht="24" x14ac:dyDescent="0.2">
      <c r="A60" s="35" t="s">
        <v>91</v>
      </c>
      <c r="B60" s="147">
        <v>42674</v>
      </c>
      <c r="C60" s="148">
        <v>43435</v>
      </c>
      <c r="D60" s="101">
        <v>50</v>
      </c>
      <c r="E60" s="22">
        <f>527874.76+267125.24</f>
        <v>795000</v>
      </c>
      <c r="F60" s="22">
        <v>125405.27</v>
      </c>
      <c r="G60" s="22">
        <f>11726.25+85839.59+85839.58+28190.91+888.03+1138.63</f>
        <v>213622.99</v>
      </c>
      <c r="H60" s="77">
        <f t="shared" si="8"/>
        <v>1134028.26</v>
      </c>
      <c r="I60" s="77">
        <f t="shared" si="10"/>
        <v>1134028.26</v>
      </c>
      <c r="J60" s="31"/>
      <c r="K60" s="2"/>
      <c r="L60" s="155"/>
    </row>
    <row r="61" spans="1:41" ht="24" x14ac:dyDescent="0.2">
      <c r="A61" s="35" t="s">
        <v>95</v>
      </c>
      <c r="B61" s="147">
        <v>42674</v>
      </c>
      <c r="C61" s="148">
        <v>43435</v>
      </c>
      <c r="D61" s="101">
        <v>50</v>
      </c>
      <c r="E61" s="22">
        <f>422918.3+89488.48</f>
        <v>512406.77999999997</v>
      </c>
      <c r="F61" s="22">
        <v>21398.27</v>
      </c>
      <c r="G61" s="22">
        <f>9727.09+73528.68+73528.67+6463.13+195.65+250.86</f>
        <v>163694.07999999999</v>
      </c>
      <c r="H61" s="77">
        <f t="shared" si="8"/>
        <v>697499.12999999989</v>
      </c>
      <c r="I61" s="77">
        <f t="shared" si="10"/>
        <v>697499.12999999989</v>
      </c>
      <c r="J61" s="31"/>
      <c r="K61" s="2"/>
      <c r="L61" s="155"/>
    </row>
    <row r="62" spans="1:41" ht="24" x14ac:dyDescent="0.2">
      <c r="A62" s="35" t="s">
        <v>88</v>
      </c>
      <c r="B62" s="147">
        <v>42674</v>
      </c>
      <c r="C62" s="148">
        <v>43435</v>
      </c>
      <c r="D62" s="101">
        <v>50</v>
      </c>
      <c r="E62" s="22">
        <f>418074.23+94332.55</f>
        <v>512406.77999999997</v>
      </c>
      <c r="F62" s="22">
        <v>13136.97</v>
      </c>
      <c r="G62" s="102">
        <f>9726.81+73518.84+73518.83+13739.61+89.83+115.18</f>
        <v>170709.09999999995</v>
      </c>
      <c r="H62" s="77">
        <f t="shared" si="8"/>
        <v>696252.85</v>
      </c>
      <c r="I62" s="77">
        <f t="shared" si="10"/>
        <v>696252.85</v>
      </c>
      <c r="J62" s="31"/>
      <c r="K62" s="2"/>
      <c r="L62" s="155"/>
    </row>
    <row r="63" spans="1:41" ht="27.75" customHeight="1" x14ac:dyDescent="0.2">
      <c r="A63" s="35" t="s">
        <v>92</v>
      </c>
      <c r="B63" s="147">
        <v>42674</v>
      </c>
      <c r="C63" s="148">
        <v>43435</v>
      </c>
      <c r="D63" s="101">
        <v>50</v>
      </c>
      <c r="E63" s="22">
        <f>483463.79+194493.84</f>
        <v>677957.63</v>
      </c>
      <c r="F63" s="22">
        <v>75895.13</v>
      </c>
      <c r="G63" s="102">
        <f>12170.95+73595.73+73595.72+32767.25+421.2+540.06</f>
        <v>193090.91</v>
      </c>
      <c r="H63" s="77">
        <f t="shared" si="8"/>
        <v>946943.67</v>
      </c>
      <c r="I63" s="77">
        <f t="shared" si="10"/>
        <v>946943.67</v>
      </c>
      <c r="J63" s="31"/>
      <c r="K63" s="2"/>
      <c r="L63" s="155"/>
    </row>
    <row r="64" spans="1:41" ht="24" x14ac:dyDescent="0.2">
      <c r="A64" s="35" t="s">
        <v>93</v>
      </c>
      <c r="B64" s="147">
        <v>42674</v>
      </c>
      <c r="C64" s="148">
        <v>43435</v>
      </c>
      <c r="D64" s="101">
        <v>50</v>
      </c>
      <c r="E64" s="22">
        <f>420276.28+92130.5</f>
        <v>512406.78</v>
      </c>
      <c r="F64" s="22">
        <v>11259.22</v>
      </c>
      <c r="G64" s="22">
        <f>9728.1+73562.68+73562.68+2344.36+65.52+84.01</f>
        <v>159347.34999999998</v>
      </c>
      <c r="H64" s="77">
        <f t="shared" si="8"/>
        <v>683013.35</v>
      </c>
      <c r="I64" s="77">
        <f t="shared" si="10"/>
        <v>683013.35</v>
      </c>
      <c r="J64" s="31"/>
      <c r="K64" s="2"/>
      <c r="L64" s="155"/>
    </row>
    <row r="65" spans="1:12" ht="24" x14ac:dyDescent="0.2">
      <c r="A65" s="35" t="s">
        <v>94</v>
      </c>
      <c r="B65" s="147">
        <v>42674</v>
      </c>
      <c r="C65" s="148">
        <v>43435</v>
      </c>
      <c r="D65" s="101">
        <v>50</v>
      </c>
      <c r="E65" s="22">
        <f>482715.08+195242.54</f>
        <v>677957.62</v>
      </c>
      <c r="F65" s="22">
        <v>129839.85</v>
      </c>
      <c r="G65" s="102">
        <f>12168.31+73506.52+73506.52+175138.37-155955.03+340.34+436.38</f>
        <v>179141.40999999997</v>
      </c>
      <c r="H65" s="77">
        <f t="shared" si="8"/>
        <v>986938.87999999989</v>
      </c>
      <c r="I65" s="77">
        <f t="shared" si="10"/>
        <v>986938.87999999989</v>
      </c>
      <c r="J65" s="31"/>
      <c r="K65" s="2"/>
      <c r="L65" s="155"/>
    </row>
    <row r="66" spans="1:12" ht="27" customHeight="1" x14ac:dyDescent="0.2">
      <c r="A66" s="29" t="s">
        <v>42</v>
      </c>
      <c r="B66" s="147">
        <v>42277</v>
      </c>
      <c r="C66" s="148">
        <v>43221</v>
      </c>
      <c r="D66" s="101">
        <v>95</v>
      </c>
      <c r="E66" s="22">
        <f>1571176.6+416824.13+32438.67</f>
        <v>2020439.4</v>
      </c>
      <c r="F66" s="22">
        <f>22521.53+26027.77+15459775.51-15842.99</f>
        <v>15492481.82</v>
      </c>
      <c r="G66" s="22">
        <f>35090.7+365000+4247.87+4002.85+227896.52+4002.84+52083.62+29422.69+49395.39+4174.36+4174.35-29422.69+33669.65</f>
        <v>783738.14999999991</v>
      </c>
      <c r="H66" s="77">
        <f t="shared" si="8"/>
        <v>18296659.369999997</v>
      </c>
      <c r="I66" s="77">
        <f t="shared" si="9"/>
        <v>18296659.369999997</v>
      </c>
      <c r="J66" s="31"/>
      <c r="K66" s="2"/>
      <c r="L66" s="159" t="s">
        <v>1134</v>
      </c>
    </row>
    <row r="67" spans="1:12" ht="28.5" customHeight="1" x14ac:dyDescent="0.2">
      <c r="A67" s="29" t="s">
        <v>71</v>
      </c>
      <c r="B67" s="147">
        <v>42674</v>
      </c>
      <c r="C67" s="148">
        <v>43435</v>
      </c>
      <c r="D67" s="101">
        <v>50</v>
      </c>
      <c r="E67" s="22">
        <f>4492250.14+84021.05</f>
        <v>4576271.1899999995</v>
      </c>
      <c r="F67" s="22"/>
      <c r="G67" s="22">
        <f>82245.24+499838.42+499838.41+1110012.92+1584.59</f>
        <v>2193519.58</v>
      </c>
      <c r="H67" s="77">
        <f t="shared" si="8"/>
        <v>6769790.7699999996</v>
      </c>
      <c r="I67" s="77">
        <f t="shared" si="9"/>
        <v>6769790.7699999996</v>
      </c>
      <c r="J67" s="31"/>
      <c r="K67" s="2"/>
      <c r="L67" s="155"/>
    </row>
    <row r="68" spans="1:12" ht="29.25" customHeight="1" x14ac:dyDescent="0.2">
      <c r="A68" s="35" t="s">
        <v>141</v>
      </c>
      <c r="B68" s="147">
        <v>42886</v>
      </c>
      <c r="C68" s="148">
        <v>43252</v>
      </c>
      <c r="D68" s="96">
        <v>95</v>
      </c>
      <c r="E68" s="22">
        <f>1558148.67+1992795.59+39139248.94+14072161.13</f>
        <v>56762354.329999998</v>
      </c>
      <c r="F68" s="22">
        <v>218535.61</v>
      </c>
      <c r="G68" s="22">
        <f>60356.34+541010.97+1383.27+530218+6436.07+32099.37</f>
        <v>1171504.0200000003</v>
      </c>
      <c r="H68" s="77">
        <f t="shared" si="8"/>
        <v>58152393.960000001</v>
      </c>
      <c r="I68" s="77">
        <f>H68</f>
        <v>58152393.960000001</v>
      </c>
      <c r="J68" s="31"/>
      <c r="K68" s="2"/>
      <c r="L68" s="159" t="s">
        <v>1135</v>
      </c>
    </row>
    <row r="69" spans="1:12" ht="34.5" customHeight="1" x14ac:dyDescent="0.2">
      <c r="A69" s="29" t="s">
        <v>72</v>
      </c>
      <c r="B69" s="147">
        <v>42674</v>
      </c>
      <c r="C69" s="148">
        <v>43465</v>
      </c>
      <c r="D69" s="101">
        <v>20</v>
      </c>
      <c r="E69" s="22">
        <f>1828699.62+460300.38</f>
        <v>2289000</v>
      </c>
      <c r="F69" s="22"/>
      <c r="G69" s="22">
        <f>41142.03+500290.27</f>
        <v>541432.30000000005</v>
      </c>
      <c r="H69" s="77">
        <f t="shared" si="8"/>
        <v>2830432.3</v>
      </c>
      <c r="I69" s="77">
        <f>H69</f>
        <v>2830432.3</v>
      </c>
      <c r="J69" s="31"/>
      <c r="K69" s="2"/>
      <c r="L69" s="155"/>
    </row>
    <row r="70" spans="1:12" ht="12" customHeight="1" x14ac:dyDescent="0.2">
      <c r="A70" s="29" t="s">
        <v>298</v>
      </c>
      <c r="B70" s="147">
        <v>43039</v>
      </c>
      <c r="C70" s="148">
        <v>43465</v>
      </c>
      <c r="D70" s="101">
        <v>50</v>
      </c>
      <c r="E70" s="22">
        <f>7941123.94+717980.71</f>
        <v>8659104.6500000004</v>
      </c>
      <c r="F70" s="22">
        <f>679774.12+1050861.48-676289.52</f>
        <v>1054346.08</v>
      </c>
      <c r="G70" s="22">
        <f>154421.95+3095006.42</f>
        <v>3249428.37</v>
      </c>
      <c r="H70" s="77">
        <f t="shared" si="8"/>
        <v>12962879.100000001</v>
      </c>
      <c r="I70" s="77">
        <f>H70</f>
        <v>12962879.100000001</v>
      </c>
      <c r="J70" s="31"/>
      <c r="K70" s="2"/>
      <c r="L70" s="155"/>
    </row>
    <row r="71" spans="1:12" ht="24" customHeight="1" x14ac:dyDescent="0.2">
      <c r="A71" s="29" t="s">
        <v>73</v>
      </c>
      <c r="B71" s="147">
        <v>42674</v>
      </c>
      <c r="C71" s="148">
        <v>43435</v>
      </c>
      <c r="D71" s="101">
        <v>10</v>
      </c>
      <c r="E71" s="22">
        <f>418074.23+94332.55</f>
        <v>512406.77999999997</v>
      </c>
      <c r="F71" s="22"/>
      <c r="G71" s="22">
        <f>9735.68+73819.47+73819.47</f>
        <v>157374.62</v>
      </c>
      <c r="H71" s="77">
        <f t="shared" si="8"/>
        <v>669781.39999999991</v>
      </c>
      <c r="I71" s="77">
        <f t="shared" ref="I71" si="11">H71</f>
        <v>669781.39999999991</v>
      </c>
      <c r="J71" s="31"/>
      <c r="K71" s="2"/>
      <c r="L71" s="155"/>
    </row>
    <row r="72" spans="1:12" ht="24" x14ac:dyDescent="0.2">
      <c r="A72" s="35" t="s">
        <v>99</v>
      </c>
      <c r="B72" s="147">
        <v>42674</v>
      </c>
      <c r="C72" s="148">
        <v>43435</v>
      </c>
      <c r="D72" s="101">
        <v>50</v>
      </c>
      <c r="E72" s="22">
        <f>473906.86+204050.76</f>
        <v>677957.62</v>
      </c>
      <c r="F72" s="22">
        <v>7453.3</v>
      </c>
      <c r="G72" s="22">
        <f>12173.77+73691.48+73691.47+412.79+633.4</f>
        <v>160602.91</v>
      </c>
      <c r="H72" s="77">
        <f t="shared" si="8"/>
        <v>846013.83000000007</v>
      </c>
      <c r="I72" s="77">
        <f t="shared" ref="I72:I77" si="12">H72</f>
        <v>846013.83000000007</v>
      </c>
      <c r="J72" s="31"/>
      <c r="K72" s="2"/>
      <c r="L72" s="155"/>
    </row>
    <row r="73" spans="1:12" ht="24" x14ac:dyDescent="0.2">
      <c r="A73" s="35" t="s">
        <v>97</v>
      </c>
      <c r="B73" s="147">
        <v>42674</v>
      </c>
      <c r="C73" s="148">
        <v>43435</v>
      </c>
      <c r="D73" s="101">
        <v>50</v>
      </c>
      <c r="E73" s="22">
        <f>473906.86+204050.76</f>
        <v>677957.62</v>
      </c>
      <c r="F73" s="22">
        <v>10344.1</v>
      </c>
      <c r="G73" s="102">
        <f>12168.31+73506.52+73506.52+542.92+833.08</f>
        <v>160557.35</v>
      </c>
      <c r="H73" s="77">
        <f t="shared" si="8"/>
        <v>848859.07</v>
      </c>
      <c r="I73" s="77">
        <f t="shared" si="12"/>
        <v>848859.07</v>
      </c>
      <c r="J73" s="31"/>
      <c r="K73" s="2"/>
      <c r="L73" s="155"/>
    </row>
    <row r="74" spans="1:12" ht="24" x14ac:dyDescent="0.2">
      <c r="A74" s="35" t="s">
        <v>86</v>
      </c>
      <c r="B74" s="147">
        <v>42674</v>
      </c>
      <c r="C74" s="148">
        <v>43435</v>
      </c>
      <c r="D74" s="101">
        <v>50</v>
      </c>
      <c r="E74" s="22">
        <f>473906.86+204050.76</f>
        <v>677957.62</v>
      </c>
      <c r="F74" s="22">
        <v>10811.3</v>
      </c>
      <c r="G74" s="102">
        <f>12173.77+73691.48+73691.47+479.58+735.88</f>
        <v>160772.18</v>
      </c>
      <c r="H74" s="77">
        <f t="shared" si="8"/>
        <v>849541.10000000009</v>
      </c>
      <c r="I74" s="77">
        <f t="shared" si="12"/>
        <v>849541.10000000009</v>
      </c>
      <c r="J74" s="31"/>
      <c r="K74" s="2"/>
      <c r="L74" s="155"/>
    </row>
    <row r="75" spans="1:12" ht="24" x14ac:dyDescent="0.2">
      <c r="A75" s="35" t="s">
        <v>100</v>
      </c>
      <c r="B75" s="147">
        <v>42674</v>
      </c>
      <c r="C75" s="148">
        <v>43435</v>
      </c>
      <c r="D75" s="101">
        <v>50</v>
      </c>
      <c r="E75" s="22">
        <f>483595.85+194361.78</f>
        <v>677957.63</v>
      </c>
      <c r="F75" s="22">
        <v>192567.69</v>
      </c>
      <c r="G75" s="102">
        <f>12184.1+74041.76+74041.75+16138.39+407.68+522.72</f>
        <v>177336.4</v>
      </c>
      <c r="H75" s="77">
        <f t="shared" si="8"/>
        <v>1047861.7200000001</v>
      </c>
      <c r="I75" s="77">
        <f t="shared" si="12"/>
        <v>1047861.7200000001</v>
      </c>
      <c r="J75" s="31"/>
      <c r="K75" s="2"/>
      <c r="L75" s="155"/>
    </row>
    <row r="76" spans="1:12" ht="24" x14ac:dyDescent="0.2">
      <c r="A76" s="35" t="s">
        <v>98</v>
      </c>
      <c r="B76" s="147">
        <v>42674</v>
      </c>
      <c r="C76" s="148">
        <v>43435</v>
      </c>
      <c r="D76" s="101">
        <v>80</v>
      </c>
      <c r="E76" s="22">
        <f>676340.55+355057.75</f>
        <v>1031398.3</v>
      </c>
      <c r="F76" s="22">
        <v>75322.42</v>
      </c>
      <c r="G76" s="22">
        <f>122651.69+18831.36+122651.69</f>
        <v>264134.74</v>
      </c>
      <c r="H76" s="77">
        <f t="shared" ref="H76:H93" si="13">F76+E76+G76</f>
        <v>1370855.46</v>
      </c>
      <c r="I76" s="77">
        <f t="shared" si="12"/>
        <v>1370855.46</v>
      </c>
      <c r="J76" s="31"/>
      <c r="K76" s="2"/>
      <c r="L76" s="155"/>
    </row>
    <row r="77" spans="1:12" ht="24" x14ac:dyDescent="0.2">
      <c r="A77" s="35" t="s">
        <v>101</v>
      </c>
      <c r="B77" s="147">
        <v>42674</v>
      </c>
      <c r="C77" s="148">
        <v>43435</v>
      </c>
      <c r="D77" s="101">
        <v>50</v>
      </c>
      <c r="E77" s="22">
        <f>545444.01+217267.86</f>
        <v>762711.87</v>
      </c>
      <c r="F77" s="22">
        <v>80328.39</v>
      </c>
      <c r="G77" s="22">
        <f>13420.12+73563.41+73563.4+17044.39+581.88+746.08</f>
        <v>178919.28</v>
      </c>
      <c r="H77" s="77">
        <f t="shared" si="13"/>
        <v>1021959.54</v>
      </c>
      <c r="I77" s="77">
        <f t="shared" si="12"/>
        <v>1021959.54</v>
      </c>
      <c r="J77" s="31"/>
      <c r="K77" s="2"/>
      <c r="L77" s="155"/>
    </row>
    <row r="78" spans="1:12" ht="24" x14ac:dyDescent="0.2">
      <c r="A78" s="35" t="s">
        <v>96</v>
      </c>
      <c r="B78" s="147">
        <v>42674</v>
      </c>
      <c r="C78" s="148">
        <v>43435</v>
      </c>
      <c r="D78" s="101">
        <v>50</v>
      </c>
      <c r="E78" s="22">
        <f>500801.83+310994.78</f>
        <v>811796.6100000001</v>
      </c>
      <c r="F78" s="22">
        <v>8530.91</v>
      </c>
      <c r="G78" s="22">
        <f>14886.42+98726.13+98726.12+1729.33+64750+2653.52</f>
        <v>281471.52</v>
      </c>
      <c r="H78" s="77">
        <f t="shared" si="13"/>
        <v>1101799.04</v>
      </c>
      <c r="I78" s="77">
        <f t="shared" ref="I78:I82" si="14">H78</f>
        <v>1101799.04</v>
      </c>
      <c r="J78" s="31"/>
      <c r="K78" s="2"/>
      <c r="L78" s="155"/>
    </row>
    <row r="79" spans="1:12" ht="24" x14ac:dyDescent="0.2">
      <c r="A79" s="35" t="s">
        <v>299</v>
      </c>
      <c r="B79" s="147">
        <v>43039</v>
      </c>
      <c r="C79" s="148">
        <v>43800</v>
      </c>
      <c r="D79" s="101">
        <v>30</v>
      </c>
      <c r="E79" s="22">
        <f>1335706.66+284664.56</f>
        <v>1620371.22</v>
      </c>
      <c r="F79" s="22"/>
      <c r="G79" s="22">
        <v>28929.91</v>
      </c>
      <c r="H79" s="77">
        <f t="shared" si="13"/>
        <v>1649301.13</v>
      </c>
      <c r="I79" s="77">
        <f t="shared" si="14"/>
        <v>1649301.13</v>
      </c>
      <c r="J79" s="31"/>
      <c r="K79" s="2"/>
      <c r="L79" s="155"/>
    </row>
    <row r="80" spans="1:12" ht="36" x14ac:dyDescent="0.2">
      <c r="A80" s="35" t="s">
        <v>300</v>
      </c>
      <c r="B80" s="147">
        <v>43039</v>
      </c>
      <c r="C80" s="148">
        <v>43800</v>
      </c>
      <c r="D80" s="101">
        <v>30</v>
      </c>
      <c r="E80" s="22">
        <f>1737186.98+284664.56</f>
        <v>2021851.54</v>
      </c>
      <c r="F80" s="22"/>
      <c r="G80" s="22">
        <v>32872.129999999997</v>
      </c>
      <c r="H80" s="77">
        <f t="shared" si="13"/>
        <v>2054723.67</v>
      </c>
      <c r="I80" s="77">
        <f t="shared" si="14"/>
        <v>2054723.67</v>
      </c>
      <c r="J80" s="31"/>
      <c r="K80" s="2"/>
      <c r="L80" s="155"/>
    </row>
    <row r="81" spans="1:12" x14ac:dyDescent="0.2">
      <c r="A81" s="35" t="s">
        <v>301</v>
      </c>
      <c r="B81" s="147">
        <v>43039</v>
      </c>
      <c r="C81" s="148">
        <v>43800</v>
      </c>
      <c r="D81" s="101">
        <v>30</v>
      </c>
      <c r="E81" s="22">
        <v>3709622.22</v>
      </c>
      <c r="F81" s="22"/>
      <c r="G81" s="22">
        <v>68616.27</v>
      </c>
      <c r="H81" s="77">
        <f t="shared" si="13"/>
        <v>3778238.49</v>
      </c>
      <c r="I81" s="77">
        <f t="shared" si="14"/>
        <v>3778238.49</v>
      </c>
      <c r="J81" s="31"/>
      <c r="K81" s="2"/>
      <c r="L81" s="155"/>
    </row>
    <row r="82" spans="1:12" ht="36" x14ac:dyDescent="0.2">
      <c r="A82" s="35" t="s">
        <v>302</v>
      </c>
      <c r="B82" s="147">
        <v>43039</v>
      </c>
      <c r="C82" s="148">
        <v>43282</v>
      </c>
      <c r="D82" s="101">
        <v>30</v>
      </c>
      <c r="E82" s="22"/>
      <c r="F82" s="22"/>
      <c r="G82" s="22">
        <v>28972.59</v>
      </c>
      <c r="H82" s="77">
        <f t="shared" si="13"/>
        <v>28972.59</v>
      </c>
      <c r="I82" s="77">
        <f t="shared" si="14"/>
        <v>28972.59</v>
      </c>
      <c r="J82" s="31"/>
      <c r="K82" s="2"/>
      <c r="L82" s="155"/>
    </row>
    <row r="83" spans="1:12" x14ac:dyDescent="0.2">
      <c r="A83" s="35" t="s">
        <v>113</v>
      </c>
      <c r="B83" s="147">
        <v>42674</v>
      </c>
      <c r="C83" s="148">
        <v>43282</v>
      </c>
      <c r="D83" s="101">
        <v>50</v>
      </c>
      <c r="E83" s="22">
        <v>508474.58</v>
      </c>
      <c r="F83" s="22">
        <v>241</v>
      </c>
      <c r="G83" s="22">
        <f>9670.37+73571.95+73571.94+32809.74</f>
        <v>189624</v>
      </c>
      <c r="H83" s="77">
        <f t="shared" si="13"/>
        <v>698339.58000000007</v>
      </c>
      <c r="I83" s="77">
        <f t="shared" ref="I83:I93" si="15">H83</f>
        <v>698339.58000000007</v>
      </c>
      <c r="J83" s="31"/>
      <c r="K83" s="2"/>
      <c r="L83" s="155"/>
    </row>
    <row r="84" spans="1:12" x14ac:dyDescent="0.2">
      <c r="A84" s="35" t="s">
        <v>114</v>
      </c>
      <c r="B84" s="147">
        <v>42674</v>
      </c>
      <c r="C84" s="148">
        <v>43282</v>
      </c>
      <c r="D84" s="101">
        <v>50</v>
      </c>
      <c r="E84" s="22">
        <v>508474.58</v>
      </c>
      <c r="F84" s="22">
        <v>299</v>
      </c>
      <c r="G84" s="102">
        <f>9670.37+73571.95+73571.94+87727.76</f>
        <v>244542.02000000002</v>
      </c>
      <c r="H84" s="77">
        <f t="shared" si="13"/>
        <v>753315.60000000009</v>
      </c>
      <c r="I84" s="77">
        <f t="shared" si="15"/>
        <v>753315.60000000009</v>
      </c>
      <c r="J84" s="31"/>
      <c r="K84" s="2"/>
      <c r="L84" s="155"/>
    </row>
    <row r="85" spans="1:12" ht="23.25" customHeight="1" x14ac:dyDescent="0.2">
      <c r="A85" s="35" t="s">
        <v>115</v>
      </c>
      <c r="B85" s="147">
        <v>42674</v>
      </c>
      <c r="C85" s="148">
        <v>43282</v>
      </c>
      <c r="D85" s="101">
        <v>50</v>
      </c>
      <c r="E85" s="22">
        <v>508474.58</v>
      </c>
      <c r="F85" s="22">
        <v>723</v>
      </c>
      <c r="G85" s="22">
        <f>9670.37+73571.95+73571.94+54352.92</f>
        <v>211167.18</v>
      </c>
      <c r="H85" s="77">
        <f t="shared" si="13"/>
        <v>720364.76</v>
      </c>
      <c r="I85" s="77">
        <f t="shared" si="15"/>
        <v>720364.76</v>
      </c>
      <c r="J85" s="31"/>
      <c r="K85" s="2"/>
      <c r="L85" s="155"/>
    </row>
    <row r="86" spans="1:12" x14ac:dyDescent="0.2">
      <c r="A86" s="35" t="s">
        <v>117</v>
      </c>
      <c r="B86" s="147">
        <v>42674</v>
      </c>
      <c r="C86" s="148">
        <v>43282</v>
      </c>
      <c r="D86" s="101">
        <v>50</v>
      </c>
      <c r="E86" s="22">
        <v>423703.39</v>
      </c>
      <c r="F86" s="22"/>
      <c r="G86" s="22">
        <f>6249.63+28364.08</f>
        <v>34613.71</v>
      </c>
      <c r="H86" s="77">
        <f t="shared" si="13"/>
        <v>458317.10000000003</v>
      </c>
      <c r="I86" s="77">
        <f t="shared" si="15"/>
        <v>458317.10000000003</v>
      </c>
      <c r="J86" s="31"/>
      <c r="K86" s="2"/>
      <c r="L86" s="155"/>
    </row>
    <row r="87" spans="1:12" x14ac:dyDescent="0.2">
      <c r="A87" s="35" t="s">
        <v>116</v>
      </c>
      <c r="B87" s="147">
        <v>42674</v>
      </c>
      <c r="C87" s="148">
        <v>43282</v>
      </c>
      <c r="D87" s="101">
        <v>50</v>
      </c>
      <c r="E87" s="22">
        <v>508474.58</v>
      </c>
      <c r="F87" s="22">
        <v>650</v>
      </c>
      <c r="G87" s="102">
        <f>9670.37+73571.95+73571.94+72813.69</f>
        <v>229627.95</v>
      </c>
      <c r="H87" s="77">
        <f t="shared" si="13"/>
        <v>738752.53</v>
      </c>
      <c r="I87" s="77">
        <f t="shared" si="15"/>
        <v>738752.53</v>
      </c>
      <c r="J87" s="31"/>
      <c r="K87" s="2"/>
      <c r="L87" s="155"/>
    </row>
    <row r="88" spans="1:12" x14ac:dyDescent="0.2">
      <c r="A88" s="35" t="s">
        <v>119</v>
      </c>
      <c r="B88" s="147">
        <v>42674</v>
      </c>
      <c r="C88" s="148">
        <v>43282</v>
      </c>
      <c r="D88" s="101">
        <v>50</v>
      </c>
      <c r="E88" s="22">
        <v>423703.39</v>
      </c>
      <c r="F88" s="22"/>
      <c r="G88" s="22">
        <f>6249.63+28429.67</f>
        <v>34679.299999999996</v>
      </c>
      <c r="H88" s="77">
        <f t="shared" si="13"/>
        <v>458382.69</v>
      </c>
      <c r="I88" s="77">
        <f t="shared" si="15"/>
        <v>458382.69</v>
      </c>
      <c r="J88" s="31"/>
      <c r="K88" s="2"/>
      <c r="L88" s="155"/>
    </row>
    <row r="89" spans="1:12" x14ac:dyDescent="0.2">
      <c r="A89" s="35" t="s">
        <v>118</v>
      </c>
      <c r="B89" s="147">
        <v>42674</v>
      </c>
      <c r="C89" s="148">
        <v>43282</v>
      </c>
      <c r="D89" s="101">
        <v>50</v>
      </c>
      <c r="E89" s="22">
        <v>508474.58</v>
      </c>
      <c r="F89" s="22">
        <v>219</v>
      </c>
      <c r="G89" s="102">
        <f>9670.37+73571.99+73571.9+55977.64</f>
        <v>212791.90000000002</v>
      </c>
      <c r="H89" s="77">
        <f t="shared" si="13"/>
        <v>721485.48</v>
      </c>
      <c r="I89" s="77">
        <f t="shared" si="15"/>
        <v>721485.48</v>
      </c>
      <c r="J89" s="31"/>
      <c r="K89" s="2"/>
      <c r="L89" s="155"/>
    </row>
    <row r="90" spans="1:12" ht="24" x14ac:dyDescent="0.2">
      <c r="A90" s="35" t="s">
        <v>112</v>
      </c>
      <c r="B90" s="147">
        <v>42674</v>
      </c>
      <c r="C90" s="148">
        <v>43282</v>
      </c>
      <c r="D90" s="101">
        <v>50</v>
      </c>
      <c r="E90" s="22">
        <f>1016949.16-508474.58</f>
        <v>508474.58</v>
      </c>
      <c r="F90" s="22">
        <v>200.9</v>
      </c>
      <c r="G90" s="102">
        <f>9670.37+73571.95+73571.94+112499.93</f>
        <v>269314.19</v>
      </c>
      <c r="H90" s="77">
        <f t="shared" si="13"/>
        <v>777989.67</v>
      </c>
      <c r="I90" s="77">
        <f t="shared" si="15"/>
        <v>777989.67</v>
      </c>
      <c r="J90" s="31"/>
      <c r="K90" s="2"/>
      <c r="L90" s="155"/>
    </row>
    <row r="91" spans="1:12" ht="24" x14ac:dyDescent="0.2">
      <c r="A91" s="35" t="s">
        <v>120</v>
      </c>
      <c r="B91" s="147">
        <v>42674</v>
      </c>
      <c r="C91" s="148">
        <v>43282</v>
      </c>
      <c r="D91" s="101">
        <v>50</v>
      </c>
      <c r="E91" s="22">
        <v>508474.58</v>
      </c>
      <c r="F91" s="22">
        <v>501.22</v>
      </c>
      <c r="G91" s="22">
        <f>9670.37+73571.95+73571.94+40066.98</f>
        <v>196881.24000000002</v>
      </c>
      <c r="H91" s="77">
        <f t="shared" si="13"/>
        <v>705857.04</v>
      </c>
      <c r="I91" s="77">
        <f t="shared" si="15"/>
        <v>705857.04</v>
      </c>
      <c r="J91" s="31"/>
      <c r="K91" s="2"/>
      <c r="L91" s="155"/>
    </row>
    <row r="92" spans="1:12" ht="24" x14ac:dyDescent="0.2">
      <c r="A92" s="35" t="s">
        <v>122</v>
      </c>
      <c r="B92" s="147">
        <v>42674</v>
      </c>
      <c r="C92" s="148">
        <v>43282</v>
      </c>
      <c r="D92" s="101">
        <v>50</v>
      </c>
      <c r="E92" s="22">
        <v>508474.58</v>
      </c>
      <c r="F92" s="22">
        <v>350</v>
      </c>
      <c r="G92" s="22">
        <f>9670.37+73571.95+73571.94+55435.35</f>
        <v>212249.61000000002</v>
      </c>
      <c r="H92" s="77">
        <f t="shared" si="13"/>
        <v>721074.19000000006</v>
      </c>
      <c r="I92" s="77">
        <f t="shared" si="15"/>
        <v>721074.19000000006</v>
      </c>
      <c r="J92" s="31"/>
      <c r="K92" s="2"/>
      <c r="L92" s="155"/>
    </row>
    <row r="93" spans="1:12" ht="24" x14ac:dyDescent="0.2">
      <c r="A93" s="35" t="s">
        <v>123</v>
      </c>
      <c r="B93" s="147">
        <v>42674</v>
      </c>
      <c r="C93" s="148">
        <v>43282</v>
      </c>
      <c r="D93" s="101">
        <v>50</v>
      </c>
      <c r="E93" s="22">
        <v>508474.58</v>
      </c>
      <c r="F93" s="22">
        <v>737</v>
      </c>
      <c r="G93" s="22">
        <f>9667.75+73482.87+73482.87+41516.49</f>
        <v>198149.97999999998</v>
      </c>
      <c r="H93" s="77">
        <f t="shared" si="13"/>
        <v>707361.56</v>
      </c>
      <c r="I93" s="77">
        <f t="shared" si="15"/>
        <v>707361.56</v>
      </c>
      <c r="J93" s="31"/>
      <c r="K93" s="2"/>
      <c r="L93" s="155"/>
    </row>
    <row r="94" spans="1:12" ht="24" x14ac:dyDescent="0.2">
      <c r="A94" s="35" t="s">
        <v>102</v>
      </c>
      <c r="B94" s="147">
        <v>42674</v>
      </c>
      <c r="C94" s="148">
        <v>43282</v>
      </c>
      <c r="D94" s="101">
        <v>50</v>
      </c>
      <c r="E94" s="22"/>
      <c r="F94" s="22">
        <f>508474.58+607.58</f>
        <v>509082.16000000003</v>
      </c>
      <c r="G94" s="102">
        <f>73571.95+73571.94+9670.37+78349.67</f>
        <v>235163.93</v>
      </c>
      <c r="H94" s="77">
        <f t="shared" ref="H94" si="16">E94+F94+G94</f>
        <v>744246.09000000008</v>
      </c>
      <c r="I94" s="77">
        <f t="shared" ref="I94" si="17">H94</f>
        <v>744246.09000000008</v>
      </c>
      <c r="J94" s="31"/>
      <c r="K94" s="2"/>
      <c r="L94" s="155"/>
    </row>
    <row r="95" spans="1:12" x14ac:dyDescent="0.2">
      <c r="A95" s="35" t="s">
        <v>303</v>
      </c>
      <c r="B95" s="147">
        <v>42674</v>
      </c>
      <c r="C95" s="148">
        <v>43282</v>
      </c>
      <c r="D95" s="101">
        <v>50</v>
      </c>
      <c r="E95" s="22">
        <v>508474.58</v>
      </c>
      <c r="F95" s="22">
        <v>810</v>
      </c>
      <c r="G95" s="22">
        <f>9670.56+73578.26+73578.26+32194.55</f>
        <v>189021.62999999998</v>
      </c>
      <c r="H95" s="77">
        <f>F95+E95+G95</f>
        <v>698306.21</v>
      </c>
      <c r="I95" s="77">
        <f>H95</f>
        <v>698306.21</v>
      </c>
      <c r="J95" s="31"/>
      <c r="K95" s="2"/>
      <c r="L95" s="155"/>
    </row>
    <row r="96" spans="1:12" x14ac:dyDescent="0.2">
      <c r="A96" s="35" t="s">
        <v>104</v>
      </c>
      <c r="B96" s="147">
        <v>42674</v>
      </c>
      <c r="C96" s="148">
        <v>43282</v>
      </c>
      <c r="D96" s="101">
        <v>50</v>
      </c>
      <c r="E96" s="22">
        <v>423703.39</v>
      </c>
      <c r="F96" s="22">
        <v>12110.1</v>
      </c>
      <c r="G96" s="102">
        <f>6249.63+60159.78</f>
        <v>66409.41</v>
      </c>
      <c r="H96" s="77">
        <f>F96+E96+G96</f>
        <v>502222.9</v>
      </c>
      <c r="I96" s="77">
        <f>H96</f>
        <v>502222.9</v>
      </c>
      <c r="J96" s="31"/>
      <c r="K96" s="2"/>
      <c r="L96" s="155"/>
    </row>
    <row r="97" spans="1:12" ht="24" x14ac:dyDescent="0.2">
      <c r="A97" s="35" t="s">
        <v>271</v>
      </c>
      <c r="B97" s="147">
        <v>42705</v>
      </c>
      <c r="C97" s="148">
        <v>43282</v>
      </c>
      <c r="D97" s="101">
        <v>50</v>
      </c>
      <c r="E97" s="22"/>
      <c r="F97" s="22">
        <v>423703.39</v>
      </c>
      <c r="G97" s="22">
        <f>6249.63+20304.31</f>
        <v>26553.940000000002</v>
      </c>
      <c r="H97" s="87">
        <f>F97+E97+G97</f>
        <v>450257.33</v>
      </c>
      <c r="I97" s="77">
        <f>H97</f>
        <v>450257.33</v>
      </c>
      <c r="J97" s="121"/>
      <c r="K97" s="3"/>
      <c r="L97" s="155"/>
    </row>
    <row r="98" spans="1:12" ht="24" x14ac:dyDescent="0.2">
      <c r="A98" s="35" t="s">
        <v>128</v>
      </c>
      <c r="B98" s="147">
        <v>42674</v>
      </c>
      <c r="C98" s="148">
        <v>43282</v>
      </c>
      <c r="D98" s="101">
        <v>50</v>
      </c>
      <c r="E98" s="22">
        <v>423703.39</v>
      </c>
      <c r="F98" s="22"/>
      <c r="G98" s="22">
        <v>6249.63</v>
      </c>
      <c r="H98" s="77">
        <f>F98+E98+G98</f>
        <v>429953.02</v>
      </c>
      <c r="I98" s="77">
        <f>H98</f>
        <v>429953.02</v>
      </c>
      <c r="J98" s="31"/>
      <c r="K98" s="28"/>
      <c r="L98" s="155"/>
    </row>
    <row r="99" spans="1:12" ht="24" x14ac:dyDescent="0.2">
      <c r="A99" s="35" t="s">
        <v>127</v>
      </c>
      <c r="B99" s="147">
        <v>42674</v>
      </c>
      <c r="C99" s="148">
        <v>43282</v>
      </c>
      <c r="D99" s="101">
        <v>50</v>
      </c>
      <c r="E99" s="22">
        <v>420578.18</v>
      </c>
      <c r="F99" s="22">
        <v>822.43</v>
      </c>
      <c r="G99" s="102">
        <f>9374.84+10873.68</f>
        <v>20248.52</v>
      </c>
      <c r="H99" s="77">
        <f>F99+E99+G99</f>
        <v>441649.13</v>
      </c>
      <c r="I99" s="77">
        <f>H99</f>
        <v>441649.13</v>
      </c>
      <c r="J99" s="31"/>
      <c r="K99" s="2"/>
      <c r="L99" s="155"/>
    </row>
    <row r="100" spans="1:12" ht="24" x14ac:dyDescent="0.2">
      <c r="A100" s="35" t="s">
        <v>136</v>
      </c>
      <c r="B100" s="147">
        <v>42675</v>
      </c>
      <c r="C100" s="148">
        <v>43282</v>
      </c>
      <c r="D100" s="101">
        <v>50</v>
      </c>
      <c r="E100" s="22"/>
      <c r="F100" s="22">
        <f>420578.18+1792.21</f>
        <v>422370.39</v>
      </c>
      <c r="G100" s="102">
        <f>9374.84+9075.12</f>
        <v>18449.96</v>
      </c>
      <c r="H100" s="77">
        <f t="shared" ref="H100" si="18">E100+F100+G100</f>
        <v>440820.35000000003</v>
      </c>
      <c r="I100" s="77">
        <f t="shared" ref="I100" si="19">H100</f>
        <v>440820.35000000003</v>
      </c>
      <c r="J100" s="31"/>
      <c r="K100" s="28"/>
      <c r="L100" s="155"/>
    </row>
    <row r="101" spans="1:12" ht="24" x14ac:dyDescent="0.2">
      <c r="A101" s="35" t="s">
        <v>124</v>
      </c>
      <c r="B101" s="147">
        <v>42674</v>
      </c>
      <c r="C101" s="148">
        <v>43282</v>
      </c>
      <c r="D101" s="101">
        <v>50</v>
      </c>
      <c r="E101" s="22">
        <v>423703.39</v>
      </c>
      <c r="F101" s="22">
        <v>308.20999999999998</v>
      </c>
      <c r="G101" s="22">
        <f>6249.63+35937.61</f>
        <v>42187.24</v>
      </c>
      <c r="H101" s="77">
        <f t="shared" ref="H101:H114" si="20">F101+E101+G101</f>
        <v>466198.84</v>
      </c>
      <c r="I101" s="77">
        <f>H101</f>
        <v>466198.84</v>
      </c>
      <c r="J101" s="31"/>
      <c r="K101" s="2"/>
      <c r="L101" s="155"/>
    </row>
    <row r="102" spans="1:12" ht="24" x14ac:dyDescent="0.2">
      <c r="A102" s="35" t="s">
        <v>125</v>
      </c>
      <c r="B102" s="147">
        <v>42674</v>
      </c>
      <c r="C102" s="148">
        <v>43282</v>
      </c>
      <c r="D102" s="101">
        <v>50</v>
      </c>
      <c r="E102" s="22">
        <v>423703.39</v>
      </c>
      <c r="F102" s="22">
        <v>447.34</v>
      </c>
      <c r="G102" s="22">
        <f>6249.63+46174.61</f>
        <v>52424.24</v>
      </c>
      <c r="H102" s="77">
        <f t="shared" si="20"/>
        <v>476574.97000000003</v>
      </c>
      <c r="I102" s="77">
        <f>H102</f>
        <v>476574.97000000003</v>
      </c>
      <c r="J102" s="31"/>
      <c r="K102" s="2"/>
      <c r="L102" s="155"/>
    </row>
    <row r="103" spans="1:12" ht="24" x14ac:dyDescent="0.2">
      <c r="A103" s="35" t="s">
        <v>126</v>
      </c>
      <c r="B103" s="147">
        <v>42674</v>
      </c>
      <c r="C103" s="148">
        <v>43282</v>
      </c>
      <c r="D103" s="101">
        <v>50</v>
      </c>
      <c r="E103" s="22">
        <v>423703.39</v>
      </c>
      <c r="F103" s="22">
        <v>423.47</v>
      </c>
      <c r="G103" s="22">
        <f>6249.63+33451.07</f>
        <v>39700.699999999997</v>
      </c>
      <c r="H103" s="77">
        <f t="shared" si="20"/>
        <v>463827.56</v>
      </c>
      <c r="I103" s="77">
        <f>H103</f>
        <v>463827.56</v>
      </c>
      <c r="J103" s="31"/>
      <c r="K103" s="2"/>
      <c r="L103" s="155"/>
    </row>
    <row r="104" spans="1:12" ht="24" x14ac:dyDescent="0.2">
      <c r="A104" s="35" t="s">
        <v>103</v>
      </c>
      <c r="B104" s="147">
        <v>42674</v>
      </c>
      <c r="C104" s="148">
        <v>43282</v>
      </c>
      <c r="D104" s="101">
        <v>50</v>
      </c>
      <c r="E104" s="22">
        <v>423703.39</v>
      </c>
      <c r="F104" s="22">
        <v>447.34</v>
      </c>
      <c r="G104" s="22">
        <f>6249.63+38178.52</f>
        <v>44428.149999999994</v>
      </c>
      <c r="H104" s="77">
        <f t="shared" si="20"/>
        <v>468578.88</v>
      </c>
      <c r="I104" s="77">
        <f>H104</f>
        <v>468578.88</v>
      </c>
      <c r="J104" s="31"/>
      <c r="K104" s="2"/>
      <c r="L104" s="155"/>
    </row>
    <row r="105" spans="1:12" x14ac:dyDescent="0.2">
      <c r="A105" s="29" t="s">
        <v>34</v>
      </c>
      <c r="B105" s="147">
        <v>40711</v>
      </c>
      <c r="C105" s="147">
        <v>43800</v>
      </c>
      <c r="D105" s="96">
        <v>40</v>
      </c>
      <c r="E105" s="22">
        <v>3491000</v>
      </c>
      <c r="F105" s="22">
        <f>8191035.17-8191035.17</f>
        <v>0</v>
      </c>
      <c r="G105" s="22">
        <v>307740</v>
      </c>
      <c r="H105" s="77">
        <f t="shared" si="20"/>
        <v>3798740</v>
      </c>
      <c r="I105" s="77">
        <f t="shared" si="9"/>
        <v>3798740</v>
      </c>
      <c r="J105" s="31"/>
      <c r="K105" s="2"/>
      <c r="L105" s="155"/>
    </row>
    <row r="106" spans="1:12" ht="17.25" customHeight="1" x14ac:dyDescent="0.2">
      <c r="A106" s="29" t="s">
        <v>35</v>
      </c>
      <c r="B106" s="147">
        <v>40711</v>
      </c>
      <c r="C106" s="147">
        <v>43800</v>
      </c>
      <c r="D106" s="96">
        <v>40</v>
      </c>
      <c r="E106" s="22">
        <v>3673101.7</v>
      </c>
      <c r="F106" s="22"/>
      <c r="G106" s="22">
        <v>339030.31</v>
      </c>
      <c r="H106" s="77">
        <f t="shared" si="20"/>
        <v>4012132.0100000002</v>
      </c>
      <c r="I106" s="77">
        <f t="shared" si="9"/>
        <v>4012132.0100000002</v>
      </c>
      <c r="J106" s="31"/>
      <c r="K106" s="2"/>
      <c r="L106" s="155"/>
    </row>
    <row r="107" spans="1:12" ht="24" x14ac:dyDescent="0.2">
      <c r="A107" s="35" t="s">
        <v>105</v>
      </c>
      <c r="B107" s="147">
        <v>42674</v>
      </c>
      <c r="C107" s="148">
        <v>43435</v>
      </c>
      <c r="D107" s="101">
        <v>40</v>
      </c>
      <c r="E107" s="22">
        <f>508936.63+286063.37</f>
        <v>795000</v>
      </c>
      <c r="F107" s="22">
        <v>16211.67</v>
      </c>
      <c r="G107" s="22">
        <f>14403.48+90753.47+90753.47+323.57+29414.47+414.88</f>
        <v>226063.34</v>
      </c>
      <c r="H107" s="77">
        <f t="shared" si="20"/>
        <v>1037275.01</v>
      </c>
      <c r="I107" s="77">
        <f t="shared" ref="I107:I114" si="21">H107</f>
        <v>1037275.01</v>
      </c>
      <c r="J107" s="31"/>
      <c r="K107" s="2"/>
      <c r="L107" s="155"/>
    </row>
    <row r="108" spans="1:12" ht="30" customHeight="1" x14ac:dyDescent="0.2">
      <c r="A108" s="29" t="s">
        <v>304</v>
      </c>
      <c r="B108" s="147">
        <v>43098</v>
      </c>
      <c r="C108" s="148">
        <v>43435</v>
      </c>
      <c r="D108" s="101">
        <v>60</v>
      </c>
      <c r="E108" s="22"/>
      <c r="F108" s="22"/>
      <c r="G108" s="22">
        <f>750000</f>
        <v>750000</v>
      </c>
      <c r="H108" s="77">
        <f t="shared" si="20"/>
        <v>750000</v>
      </c>
      <c r="I108" s="77">
        <f t="shared" si="21"/>
        <v>750000</v>
      </c>
      <c r="J108" s="31"/>
      <c r="K108" s="2"/>
      <c r="L108" s="155"/>
    </row>
    <row r="109" spans="1:12" ht="25.5" customHeight="1" x14ac:dyDescent="0.2">
      <c r="A109" s="29" t="s">
        <v>74</v>
      </c>
      <c r="B109" s="147">
        <v>42727</v>
      </c>
      <c r="C109" s="148">
        <v>43435</v>
      </c>
      <c r="D109" s="101">
        <v>30</v>
      </c>
      <c r="E109" s="22">
        <f>339345.41+42010.53</f>
        <v>381355.93999999994</v>
      </c>
      <c r="F109" s="22"/>
      <c r="G109" s="22">
        <f>37042.41+14816.96+22225.44+56.99+111.13</f>
        <v>74252.930000000008</v>
      </c>
      <c r="H109" s="77">
        <f t="shared" si="20"/>
        <v>455608.86999999994</v>
      </c>
      <c r="I109" s="77">
        <f t="shared" si="21"/>
        <v>455608.86999999994</v>
      </c>
      <c r="J109" s="31"/>
      <c r="K109" s="2"/>
      <c r="L109" s="155"/>
    </row>
    <row r="110" spans="1:12" ht="30" customHeight="1" x14ac:dyDescent="0.2">
      <c r="A110" s="29" t="s">
        <v>305</v>
      </c>
      <c r="B110" s="147">
        <v>43069</v>
      </c>
      <c r="C110" s="148">
        <v>43435</v>
      </c>
      <c r="D110" s="101">
        <v>30</v>
      </c>
      <c r="E110" s="22"/>
      <c r="F110" s="22"/>
      <c r="G110" s="22">
        <v>21562.5</v>
      </c>
      <c r="H110" s="77">
        <f t="shared" si="20"/>
        <v>21562.5</v>
      </c>
      <c r="I110" s="77">
        <f t="shared" si="21"/>
        <v>21562.5</v>
      </c>
      <c r="J110" s="31"/>
      <c r="K110" s="2"/>
      <c r="L110" s="155"/>
    </row>
    <row r="111" spans="1:12" ht="24" x14ac:dyDescent="0.2">
      <c r="A111" s="35" t="s">
        <v>106</v>
      </c>
      <c r="B111" s="147">
        <v>42674</v>
      </c>
      <c r="C111" s="148">
        <v>43435</v>
      </c>
      <c r="D111" s="101">
        <v>40</v>
      </c>
      <c r="E111" s="22">
        <f>428385.73+84021.05</f>
        <v>512406.77999999997</v>
      </c>
      <c r="F111" s="22">
        <v>8037.3</v>
      </c>
      <c r="G111" s="102">
        <f>9730.97+73660.25+77144.85+172.93+102.77</f>
        <v>160811.76999999999</v>
      </c>
      <c r="H111" s="77">
        <f t="shared" si="20"/>
        <v>681255.85</v>
      </c>
      <c r="I111" s="77">
        <f t="shared" si="21"/>
        <v>681255.85</v>
      </c>
      <c r="J111" s="31"/>
      <c r="K111" s="2"/>
      <c r="L111" s="155"/>
    </row>
    <row r="112" spans="1:12" ht="24" x14ac:dyDescent="0.2">
      <c r="A112" s="35" t="s">
        <v>306</v>
      </c>
      <c r="B112" s="147">
        <v>43039</v>
      </c>
      <c r="C112" s="148">
        <v>43435</v>
      </c>
      <c r="D112" s="101">
        <v>10</v>
      </c>
      <c r="E112" s="22"/>
      <c r="F112" s="22"/>
      <c r="G112" s="102">
        <v>32430.97</v>
      </c>
      <c r="H112" s="77">
        <f t="shared" si="20"/>
        <v>32430.97</v>
      </c>
      <c r="I112" s="77">
        <f t="shared" si="21"/>
        <v>32430.97</v>
      </c>
      <c r="J112" s="31"/>
      <c r="K112" s="2"/>
      <c r="L112" s="155"/>
    </row>
    <row r="113" spans="1:12" x14ac:dyDescent="0.2">
      <c r="A113" s="35" t="s">
        <v>322</v>
      </c>
      <c r="B113" s="147">
        <v>43039</v>
      </c>
      <c r="C113" s="148">
        <v>43435</v>
      </c>
      <c r="D113" s="101">
        <v>10</v>
      </c>
      <c r="E113" s="22"/>
      <c r="F113" s="22"/>
      <c r="G113" s="102">
        <v>40231.279999999999</v>
      </c>
      <c r="H113" s="77">
        <f t="shared" si="20"/>
        <v>40231.279999999999</v>
      </c>
      <c r="I113" s="77">
        <f t="shared" si="21"/>
        <v>40231.279999999999</v>
      </c>
      <c r="J113" s="31"/>
      <c r="K113" s="2"/>
      <c r="L113" s="155"/>
    </row>
    <row r="114" spans="1:12" ht="12" customHeight="1" x14ac:dyDescent="0.2">
      <c r="A114" s="35" t="s">
        <v>76</v>
      </c>
      <c r="B114" s="147">
        <v>42705</v>
      </c>
      <c r="C114" s="147">
        <v>43435</v>
      </c>
      <c r="D114" s="96">
        <v>80</v>
      </c>
      <c r="E114" s="22">
        <f>2510858.23+6879.05</f>
        <v>2517737.2799999998</v>
      </c>
      <c r="F114" s="22">
        <v>8280946.5599999996</v>
      </c>
      <c r="G114" s="22">
        <f>42745.5+64600+387141.77+581400+112500+2331.12+3985.27</f>
        <v>1194703.6600000001</v>
      </c>
      <c r="H114" s="77">
        <f t="shared" si="20"/>
        <v>11993387.5</v>
      </c>
      <c r="I114" s="77">
        <f t="shared" si="21"/>
        <v>11993387.5</v>
      </c>
      <c r="J114" s="31"/>
      <c r="K114" s="2"/>
      <c r="L114" s="159" t="s">
        <v>1136</v>
      </c>
    </row>
    <row r="115" spans="1:12" ht="12.75" customHeight="1" x14ac:dyDescent="0.2">
      <c r="A115" s="29" t="s">
        <v>6</v>
      </c>
      <c r="B115" s="147">
        <v>40908</v>
      </c>
      <c r="C115" s="148">
        <v>43435</v>
      </c>
      <c r="D115" s="101">
        <v>40</v>
      </c>
      <c r="E115" s="22">
        <v>460260.01</v>
      </c>
      <c r="F115" s="22">
        <f>2628813+193052.86</f>
        <v>2821865.86</v>
      </c>
      <c r="G115" s="102">
        <f>951306.43+47221.93+36724.22+36724.25+37127.77+21163.87+13328.68+740.48+513577.67+460260.01+2750.68</f>
        <v>2120925.9900000002</v>
      </c>
      <c r="H115" s="77">
        <f t="shared" ref="H115" si="22">E115+F115+G115</f>
        <v>5403051.8600000003</v>
      </c>
      <c r="I115" s="77">
        <f t="shared" ref="I115" si="23">H115</f>
        <v>5403051.8600000003</v>
      </c>
      <c r="J115" s="120"/>
      <c r="K115" s="2"/>
      <c r="L115" s="155"/>
    </row>
    <row r="116" spans="1:12" ht="24" x14ac:dyDescent="0.2">
      <c r="A116" s="29" t="s">
        <v>75</v>
      </c>
      <c r="B116" s="147">
        <v>42674</v>
      </c>
      <c r="C116" s="147">
        <v>43435</v>
      </c>
      <c r="D116" s="96">
        <v>80</v>
      </c>
      <c r="E116" s="22">
        <f>5746153.16+355536.67</f>
        <v>6101689.8300000001</v>
      </c>
      <c r="F116" s="22">
        <v>613</v>
      </c>
      <c r="G116" s="22">
        <f>109688.7+800899.64+533933.09+243746.69+274736.94</f>
        <v>1963005.0599999998</v>
      </c>
      <c r="H116" s="77">
        <f t="shared" ref="H116:H134" si="24">F116+E116+G116</f>
        <v>8065307.8899999997</v>
      </c>
      <c r="I116" s="77">
        <f>H116</f>
        <v>8065307.8899999997</v>
      </c>
      <c r="J116" s="31"/>
      <c r="K116" s="2"/>
      <c r="L116" s="159" t="s">
        <v>1137</v>
      </c>
    </row>
    <row r="117" spans="1:12" x14ac:dyDescent="0.2">
      <c r="A117" s="29" t="s">
        <v>307</v>
      </c>
      <c r="B117" s="147">
        <v>43039</v>
      </c>
      <c r="C117" s="147">
        <v>43647</v>
      </c>
      <c r="D117" s="96">
        <v>30</v>
      </c>
      <c r="E117" s="22">
        <v>1533063.23</v>
      </c>
      <c r="F117" s="22"/>
      <c r="G117" s="22">
        <v>28034.74</v>
      </c>
      <c r="H117" s="77">
        <f t="shared" si="24"/>
        <v>1561097.97</v>
      </c>
      <c r="I117" s="77">
        <f>H117</f>
        <v>1561097.97</v>
      </c>
      <c r="J117" s="31"/>
      <c r="K117" s="2"/>
      <c r="L117" s="155"/>
    </row>
    <row r="118" spans="1:12" ht="24" x14ac:dyDescent="0.2">
      <c r="A118" s="35" t="s">
        <v>107</v>
      </c>
      <c r="B118" s="147">
        <v>42674</v>
      </c>
      <c r="C118" s="148">
        <v>43435</v>
      </c>
      <c r="D118" s="101">
        <v>50</v>
      </c>
      <c r="E118" s="22">
        <f>473906.86+204050.76</f>
        <v>677957.62</v>
      </c>
      <c r="F118" s="22"/>
      <c r="G118" s="22">
        <f>12170.73+29435.36+117741.42+149.95+22070.27+14474.63</f>
        <v>196042.36000000002</v>
      </c>
      <c r="H118" s="77">
        <f t="shared" si="24"/>
        <v>873999.98</v>
      </c>
      <c r="I118" s="77">
        <f>H118</f>
        <v>873999.98</v>
      </c>
      <c r="J118" s="31"/>
      <c r="K118" s="2"/>
      <c r="L118" s="155"/>
    </row>
    <row r="119" spans="1:12" ht="12" customHeight="1" x14ac:dyDescent="0.2">
      <c r="A119" s="35" t="s">
        <v>77</v>
      </c>
      <c r="B119" s="147">
        <v>42674</v>
      </c>
      <c r="C119" s="147">
        <v>43435</v>
      </c>
      <c r="D119" s="96">
        <v>60</v>
      </c>
      <c r="E119" s="22">
        <f>473906.86+321950.86</f>
        <v>795857.72</v>
      </c>
      <c r="F119" s="22">
        <v>93324.68</v>
      </c>
      <c r="G119" s="22">
        <f>12173.65+29475.03+187.49+55100.36+320.55</f>
        <v>97257.08</v>
      </c>
      <c r="H119" s="77">
        <f t="shared" si="24"/>
        <v>986439.47999999986</v>
      </c>
      <c r="I119" s="77">
        <f>H119</f>
        <v>986439.47999999986</v>
      </c>
      <c r="J119" s="31"/>
      <c r="K119" s="2"/>
      <c r="L119" s="155"/>
    </row>
    <row r="120" spans="1:12" ht="24" x14ac:dyDescent="0.2">
      <c r="A120" s="29" t="s">
        <v>11</v>
      </c>
      <c r="B120" s="147">
        <v>40903</v>
      </c>
      <c r="C120" s="147">
        <v>43252</v>
      </c>
      <c r="D120" s="96">
        <v>95</v>
      </c>
      <c r="E120" s="102">
        <f>14745700+136277.39</f>
        <v>14881977.390000001</v>
      </c>
      <c r="F120" s="22">
        <f>303993.75+1969491.53+30513756.51+18049264.87+17348914.01-1969491.53+1969491.53</f>
        <v>68185420.670000002</v>
      </c>
      <c r="G120" s="22">
        <f>738385+5951.54+6293.58+975670.38+6293.58+197260+51103.03+41107.83+32350.85+12041.46+37271.4-12041.46-197260+203919.16</f>
        <v>2098346.3500000006</v>
      </c>
      <c r="H120" s="77">
        <f t="shared" si="24"/>
        <v>85165744.409999996</v>
      </c>
      <c r="I120" s="77">
        <f t="shared" ref="I120:I121" si="25">H120</f>
        <v>85165744.409999996</v>
      </c>
      <c r="J120" s="31"/>
      <c r="K120" s="2"/>
      <c r="L120" s="159" t="s">
        <v>1138</v>
      </c>
    </row>
    <row r="121" spans="1:12" x14ac:dyDescent="0.2">
      <c r="A121" s="29" t="s">
        <v>308</v>
      </c>
      <c r="B121" s="147">
        <v>43039</v>
      </c>
      <c r="C121" s="147">
        <v>43647</v>
      </c>
      <c r="D121" s="96">
        <v>30</v>
      </c>
      <c r="E121" s="22">
        <v>5576229.2699999996</v>
      </c>
      <c r="F121" s="22"/>
      <c r="G121" s="22">
        <v>114317.51</v>
      </c>
      <c r="H121" s="77">
        <f t="shared" si="24"/>
        <v>5690546.7799999993</v>
      </c>
      <c r="I121" s="77">
        <f t="shared" si="25"/>
        <v>5690546.7799999993</v>
      </c>
      <c r="J121" s="119"/>
      <c r="K121" s="28"/>
      <c r="L121" s="155"/>
    </row>
    <row r="122" spans="1:12" ht="23.25" customHeight="1" x14ac:dyDescent="0.2">
      <c r="A122" s="35" t="s">
        <v>78</v>
      </c>
      <c r="B122" s="147">
        <v>42674</v>
      </c>
      <c r="C122" s="147">
        <v>43435</v>
      </c>
      <c r="D122" s="96">
        <v>80</v>
      </c>
      <c r="E122" s="22">
        <v>790936.52</v>
      </c>
      <c r="F122" s="22">
        <v>1650884.14</v>
      </c>
      <c r="G122" s="22">
        <f>20029.63+126225+416175.98+63112.5+3686.62+4583.39+84375+4842.52</f>
        <v>723030.64</v>
      </c>
      <c r="H122" s="77">
        <f t="shared" si="24"/>
        <v>3164851.3000000003</v>
      </c>
      <c r="I122" s="77">
        <f t="shared" si="9"/>
        <v>3164851.3000000003</v>
      </c>
      <c r="J122" s="31"/>
      <c r="K122" s="2"/>
      <c r="L122" s="159" t="s">
        <v>1139</v>
      </c>
    </row>
    <row r="123" spans="1:12" ht="12" customHeight="1" x14ac:dyDescent="0.2">
      <c r="A123" s="35" t="s">
        <v>309</v>
      </c>
      <c r="B123" s="147">
        <v>43039</v>
      </c>
      <c r="C123" s="147">
        <v>43647</v>
      </c>
      <c r="D123" s="96">
        <v>30</v>
      </c>
      <c r="E123" s="22">
        <v>4179082.84</v>
      </c>
      <c r="F123" s="22"/>
      <c r="G123" s="22">
        <v>83280.14</v>
      </c>
      <c r="H123" s="77">
        <f t="shared" si="24"/>
        <v>4262362.9799999995</v>
      </c>
      <c r="I123" s="77">
        <f t="shared" si="9"/>
        <v>4262362.9799999995</v>
      </c>
      <c r="J123" s="31"/>
      <c r="K123" s="2"/>
      <c r="L123" s="155"/>
    </row>
    <row r="124" spans="1:12" ht="30" customHeight="1" x14ac:dyDescent="0.2">
      <c r="A124" s="34" t="s">
        <v>505</v>
      </c>
      <c r="B124" s="147">
        <v>43069</v>
      </c>
      <c r="C124" s="147">
        <v>43464</v>
      </c>
      <c r="D124" s="96">
        <v>15</v>
      </c>
      <c r="E124" s="22"/>
      <c r="F124" s="22"/>
      <c r="G124" s="22">
        <v>14793.46</v>
      </c>
      <c r="H124" s="77">
        <f t="shared" si="24"/>
        <v>14793.46</v>
      </c>
      <c r="I124" s="77">
        <f>H124</f>
        <v>14793.46</v>
      </c>
      <c r="J124" s="118"/>
      <c r="K124" s="2"/>
      <c r="L124" s="155"/>
    </row>
    <row r="125" spans="1:12" x14ac:dyDescent="0.2">
      <c r="A125" s="35" t="s">
        <v>144</v>
      </c>
      <c r="B125" s="147">
        <v>42947</v>
      </c>
      <c r="C125" s="148">
        <v>43313</v>
      </c>
      <c r="D125" s="96">
        <v>40</v>
      </c>
      <c r="E125" s="102">
        <v>2634906.98</v>
      </c>
      <c r="F125" s="22"/>
      <c r="G125" s="22">
        <v>38864.879999999997</v>
      </c>
      <c r="H125" s="77">
        <f t="shared" si="24"/>
        <v>2673771.86</v>
      </c>
      <c r="I125" s="77">
        <f t="shared" ref="I125:I134" si="26">H125</f>
        <v>2673771.86</v>
      </c>
      <c r="J125" s="31"/>
      <c r="K125" s="2"/>
      <c r="L125" s="155"/>
    </row>
    <row r="126" spans="1:12" ht="24" x14ac:dyDescent="0.2">
      <c r="A126" s="35" t="s">
        <v>108</v>
      </c>
      <c r="B126" s="147">
        <v>42674</v>
      </c>
      <c r="C126" s="148">
        <v>43435</v>
      </c>
      <c r="D126" s="101">
        <v>50</v>
      </c>
      <c r="E126" s="22">
        <f>339345.4+42010.52</f>
        <v>381355.92000000004</v>
      </c>
      <c r="F126" s="22">
        <v>7953.87</v>
      </c>
      <c r="G126" s="102">
        <f>87520.32+21562.5</f>
        <v>109082.82</v>
      </c>
      <c r="H126" s="77">
        <f t="shared" si="24"/>
        <v>498392.61000000004</v>
      </c>
      <c r="I126" s="77">
        <f t="shared" si="26"/>
        <v>498392.61000000004</v>
      </c>
      <c r="J126" s="31"/>
      <c r="K126" s="2"/>
      <c r="L126" s="155"/>
    </row>
    <row r="127" spans="1:12" ht="24" x14ac:dyDescent="0.2">
      <c r="A127" s="35" t="s">
        <v>80</v>
      </c>
      <c r="B127" s="147">
        <v>42705</v>
      </c>
      <c r="C127" s="147">
        <v>43435</v>
      </c>
      <c r="D127" s="101">
        <v>50</v>
      </c>
      <c r="E127" s="102">
        <f>302749.7+120979.11</f>
        <v>423728.81</v>
      </c>
      <c r="F127" s="22"/>
      <c r="G127" s="22">
        <f>7330.61+36631+14652.4+21978.6+91.91+179.22</f>
        <v>80863.740000000005</v>
      </c>
      <c r="H127" s="77">
        <f t="shared" si="24"/>
        <v>504592.55</v>
      </c>
      <c r="I127" s="77">
        <f t="shared" si="26"/>
        <v>504592.55</v>
      </c>
      <c r="J127" s="31"/>
      <c r="K127" s="2"/>
      <c r="L127" s="155"/>
    </row>
    <row r="128" spans="1:12" ht="24" x14ac:dyDescent="0.2">
      <c r="A128" s="35" t="s">
        <v>109</v>
      </c>
      <c r="B128" s="147">
        <v>42674</v>
      </c>
      <c r="C128" s="148">
        <v>43435</v>
      </c>
      <c r="D128" s="101">
        <v>50</v>
      </c>
      <c r="E128" s="22">
        <f>5740697.89+360302.11</f>
        <v>6101000</v>
      </c>
      <c r="F128" s="22">
        <v>1125749.72</v>
      </c>
      <c r="G128" s="22">
        <f>109646.13+932845.32+399790.85+21419.88+155955.03+23391.8</f>
        <v>1643049.0099999998</v>
      </c>
      <c r="H128" s="77">
        <f t="shared" si="24"/>
        <v>8869798.7300000004</v>
      </c>
      <c r="I128" s="77">
        <f t="shared" si="26"/>
        <v>8869798.7300000004</v>
      </c>
      <c r="J128" s="31"/>
      <c r="K128" s="2"/>
      <c r="L128" s="159" t="s">
        <v>1140</v>
      </c>
    </row>
    <row r="129" spans="1:12" x14ac:dyDescent="0.2">
      <c r="A129" s="35" t="s">
        <v>310</v>
      </c>
      <c r="B129" s="147">
        <v>43039</v>
      </c>
      <c r="C129" s="147">
        <v>43647</v>
      </c>
      <c r="D129" s="101">
        <v>10</v>
      </c>
      <c r="E129" s="22"/>
      <c r="F129" s="22"/>
      <c r="G129" s="22">
        <f>55924.56+12663.12</f>
        <v>68587.679999999993</v>
      </c>
      <c r="H129" s="77">
        <f t="shared" si="24"/>
        <v>68587.679999999993</v>
      </c>
      <c r="I129" s="77">
        <f t="shared" si="26"/>
        <v>68587.679999999993</v>
      </c>
      <c r="J129" s="31"/>
      <c r="K129" s="2"/>
      <c r="L129" s="155"/>
    </row>
    <row r="130" spans="1:12" x14ac:dyDescent="0.2">
      <c r="A130" s="35" t="s">
        <v>311</v>
      </c>
      <c r="B130" s="147">
        <v>43039</v>
      </c>
      <c r="C130" s="147">
        <v>43647</v>
      </c>
      <c r="D130" s="101">
        <v>10</v>
      </c>
      <c r="E130" s="22"/>
      <c r="F130" s="22"/>
      <c r="G130" s="22">
        <v>32017.88</v>
      </c>
      <c r="H130" s="77">
        <f t="shared" si="24"/>
        <v>32017.88</v>
      </c>
      <c r="I130" s="77">
        <f t="shared" si="26"/>
        <v>32017.88</v>
      </c>
      <c r="J130" s="31"/>
      <c r="K130" s="2"/>
      <c r="L130" s="155"/>
    </row>
    <row r="131" spans="1:12" x14ac:dyDescent="0.2">
      <c r="A131" s="35" t="s">
        <v>312</v>
      </c>
      <c r="B131" s="147">
        <v>43039</v>
      </c>
      <c r="C131" s="147">
        <v>43647</v>
      </c>
      <c r="D131" s="101">
        <v>10</v>
      </c>
      <c r="E131" s="22"/>
      <c r="F131" s="22"/>
      <c r="G131" s="22">
        <v>49398.59</v>
      </c>
      <c r="H131" s="77">
        <f t="shared" si="24"/>
        <v>49398.59</v>
      </c>
      <c r="I131" s="77">
        <f t="shared" si="26"/>
        <v>49398.59</v>
      </c>
      <c r="J131" s="31"/>
      <c r="K131" s="2"/>
      <c r="L131" s="155"/>
    </row>
    <row r="132" spans="1:12" ht="15.75" customHeight="1" x14ac:dyDescent="0.2">
      <c r="A132" s="29" t="s">
        <v>12</v>
      </c>
      <c r="B132" s="147">
        <v>40903</v>
      </c>
      <c r="C132" s="148">
        <v>43800</v>
      </c>
      <c r="D132" s="101">
        <v>40</v>
      </c>
      <c r="E132" s="22">
        <v>7778000</v>
      </c>
      <c r="F132" s="22"/>
      <c r="G132" s="22">
        <v>421628</v>
      </c>
      <c r="H132" s="77">
        <f t="shared" si="24"/>
        <v>8199628</v>
      </c>
      <c r="I132" s="77">
        <f t="shared" si="26"/>
        <v>8199628</v>
      </c>
      <c r="J132" s="31"/>
      <c r="K132" s="2"/>
      <c r="L132" s="155"/>
    </row>
    <row r="133" spans="1:12" ht="28.5" customHeight="1" x14ac:dyDescent="0.2">
      <c r="A133" s="29" t="s">
        <v>84</v>
      </c>
      <c r="B133" s="147">
        <v>42674</v>
      </c>
      <c r="C133" s="148">
        <v>43435</v>
      </c>
      <c r="D133" s="101">
        <v>50</v>
      </c>
      <c r="E133" s="22">
        <f>9476344.36+608401.41</f>
        <v>10084745.77</v>
      </c>
      <c r="F133" s="22">
        <v>631370</v>
      </c>
      <c r="G133" s="22">
        <f>148750+1885277.97+807976.27+13676.71+24618.08</f>
        <v>2880299.0300000003</v>
      </c>
      <c r="H133" s="77">
        <f t="shared" si="24"/>
        <v>13596414.800000001</v>
      </c>
      <c r="I133" s="77">
        <f t="shared" si="26"/>
        <v>13596414.800000001</v>
      </c>
      <c r="J133" s="31"/>
      <c r="K133" s="2"/>
      <c r="L133" s="159" t="s">
        <v>1141</v>
      </c>
    </row>
    <row r="134" spans="1:12" x14ac:dyDescent="0.2">
      <c r="A134" s="29" t="s">
        <v>313</v>
      </c>
      <c r="B134" s="147">
        <v>43039</v>
      </c>
      <c r="C134" s="147">
        <v>43647</v>
      </c>
      <c r="D134" s="101">
        <v>10</v>
      </c>
      <c r="E134" s="22"/>
      <c r="F134" s="22"/>
      <c r="G134" s="22">
        <v>37519.07</v>
      </c>
      <c r="H134" s="77">
        <f t="shared" si="24"/>
        <v>37519.07</v>
      </c>
      <c r="I134" s="77">
        <f t="shared" si="26"/>
        <v>37519.07</v>
      </c>
      <c r="J134" s="31"/>
      <c r="K134" s="2"/>
      <c r="L134" s="155"/>
    </row>
    <row r="135" spans="1:12" ht="24.75" customHeight="1" x14ac:dyDescent="0.2">
      <c r="A135" s="29" t="s">
        <v>69</v>
      </c>
      <c r="B135" s="147">
        <v>42654</v>
      </c>
      <c r="C135" s="148">
        <v>43435</v>
      </c>
      <c r="D135" s="101">
        <v>60</v>
      </c>
      <c r="E135" s="22"/>
      <c r="F135" s="22">
        <f>473664.63+204301.47+11128.2</f>
        <v>689094.29999999993</v>
      </c>
      <c r="G135" s="102">
        <f>12458.25+1016.06+3092.2+83330.25+15982.61+17675.18+83330.24+19862.11+477.13+49331.44+373576.03+23413.69+538.06</f>
        <v>684083.25</v>
      </c>
      <c r="H135" s="77">
        <f t="shared" ref="H135:H136" si="27">E135+F135+G135</f>
        <v>1373177.5499999998</v>
      </c>
      <c r="I135" s="77">
        <f t="shared" ref="I135:I136" si="28">H135</f>
        <v>1373177.5499999998</v>
      </c>
      <c r="J135" s="120"/>
      <c r="K135" s="2"/>
      <c r="L135" s="159" t="s">
        <v>1142</v>
      </c>
    </row>
    <row r="136" spans="1:12" ht="24.75" customHeight="1" x14ac:dyDescent="0.2">
      <c r="A136" s="29" t="s">
        <v>323</v>
      </c>
      <c r="B136" s="147">
        <v>43039</v>
      </c>
      <c r="C136" s="147">
        <v>43647</v>
      </c>
      <c r="D136" s="101">
        <v>30</v>
      </c>
      <c r="E136" s="22"/>
      <c r="F136" s="22">
        <v>19132.919999999998</v>
      </c>
      <c r="G136" s="102">
        <v>2710.41</v>
      </c>
      <c r="H136" s="77">
        <f t="shared" si="27"/>
        <v>21843.329999999998</v>
      </c>
      <c r="I136" s="77">
        <f t="shared" si="28"/>
        <v>21843.329999999998</v>
      </c>
      <c r="J136" s="120"/>
      <c r="K136" s="2"/>
      <c r="L136" s="155"/>
    </row>
    <row r="137" spans="1:12" ht="24" x14ac:dyDescent="0.2">
      <c r="A137" s="29" t="s">
        <v>83</v>
      </c>
      <c r="B137" s="147">
        <v>42674</v>
      </c>
      <c r="C137" s="148">
        <v>43435</v>
      </c>
      <c r="D137" s="101">
        <v>40</v>
      </c>
      <c r="E137" s="22">
        <f>10642383.5+645752.09</f>
        <v>11288135.59</v>
      </c>
      <c r="F137" s="22"/>
      <c r="G137" s="22">
        <f>166500+1331918.64+887945.76+7058.72</f>
        <v>2393423.12</v>
      </c>
      <c r="H137" s="77">
        <f>F137+E137+G137</f>
        <v>13681558.710000001</v>
      </c>
      <c r="I137" s="77">
        <f>H137</f>
        <v>13681558.710000001</v>
      </c>
      <c r="J137" s="31"/>
      <c r="K137" s="2"/>
      <c r="L137" s="159" t="s">
        <v>1143</v>
      </c>
    </row>
    <row r="138" spans="1:12" ht="32.25" customHeight="1" x14ac:dyDescent="0.2">
      <c r="A138" s="29" t="s">
        <v>10</v>
      </c>
      <c r="B138" s="147">
        <v>40908</v>
      </c>
      <c r="C138" s="148">
        <v>43221</v>
      </c>
      <c r="D138" s="101">
        <v>95</v>
      </c>
      <c r="E138" s="22">
        <v>6711864.4100000001</v>
      </c>
      <c r="F138" s="22">
        <v>39701603.420000002</v>
      </c>
      <c r="G138" s="102">
        <f>2360425.78+107377.34+76740.81+76740.82+77545.03+603509.61+15768.72+820512.89+353445.23+985.05+706.67+39510.4</f>
        <v>4533268.3499999996</v>
      </c>
      <c r="H138" s="77">
        <f>F138+E138+G138</f>
        <v>50946736.18</v>
      </c>
      <c r="I138" s="77">
        <f>H138</f>
        <v>50946736.18</v>
      </c>
      <c r="J138" s="120"/>
      <c r="K138" s="2"/>
      <c r="L138" s="160" t="s">
        <v>1144</v>
      </c>
    </row>
    <row r="139" spans="1:12" ht="12.75" customHeight="1" x14ac:dyDescent="0.2">
      <c r="A139" s="29" t="s">
        <v>314</v>
      </c>
      <c r="B139" s="147">
        <v>43039</v>
      </c>
      <c r="C139" s="147">
        <v>43647</v>
      </c>
      <c r="D139" s="101">
        <v>30</v>
      </c>
      <c r="E139" s="22">
        <v>2532286.4900000002</v>
      </c>
      <c r="F139" s="22"/>
      <c r="G139" s="102">
        <v>52876.47</v>
      </c>
      <c r="H139" s="77">
        <f t="shared" ref="H139" si="29">E139+F139+G139</f>
        <v>2585162.9600000004</v>
      </c>
      <c r="I139" s="77">
        <f t="shared" ref="I139" si="30">H139</f>
        <v>2585162.9600000004</v>
      </c>
      <c r="J139" s="120"/>
      <c r="K139" s="2"/>
      <c r="L139" s="155"/>
    </row>
    <row r="140" spans="1:12" x14ac:dyDescent="0.2">
      <c r="A140" s="29" t="s">
        <v>13</v>
      </c>
      <c r="B140" s="147">
        <v>40903</v>
      </c>
      <c r="C140" s="148">
        <v>43800</v>
      </c>
      <c r="D140" s="101">
        <v>40</v>
      </c>
      <c r="E140" s="22">
        <v>6302500</v>
      </c>
      <c r="F140" s="22"/>
      <c r="G140" s="102">
        <v>364502</v>
      </c>
      <c r="H140" s="77">
        <f t="shared" ref="H140:H153" si="31">F140+E140+G140</f>
        <v>6667002</v>
      </c>
      <c r="I140" s="77">
        <f>H140</f>
        <v>6667002</v>
      </c>
      <c r="J140" s="31"/>
      <c r="K140" s="2"/>
      <c r="L140" s="155"/>
    </row>
    <row r="141" spans="1:12" x14ac:dyDescent="0.2">
      <c r="A141" s="29" t="s">
        <v>81</v>
      </c>
      <c r="B141" s="147">
        <v>42674</v>
      </c>
      <c r="C141" s="148">
        <v>43435</v>
      </c>
      <c r="D141" s="101">
        <v>80</v>
      </c>
      <c r="E141" s="22">
        <f>2471397.42+579450.03</f>
        <v>3050847.45</v>
      </c>
      <c r="F141" s="22">
        <f>20609.24+3740420.87</f>
        <v>3761030.1100000003</v>
      </c>
      <c r="G141" s="22">
        <f>53491.07+345399.53+230266.36+61063.73+108468.98</f>
        <v>798689.66999999993</v>
      </c>
      <c r="H141" s="77">
        <f t="shared" si="31"/>
        <v>7610567.2300000004</v>
      </c>
      <c r="I141" s="77">
        <f t="shared" si="9"/>
        <v>7610567.2300000004</v>
      </c>
      <c r="J141" s="31"/>
      <c r="K141" s="2"/>
      <c r="L141" s="155"/>
    </row>
    <row r="142" spans="1:12" x14ac:dyDescent="0.2">
      <c r="A142" s="29" t="s">
        <v>315</v>
      </c>
      <c r="B142" s="147">
        <v>43039</v>
      </c>
      <c r="C142" s="148">
        <v>43800</v>
      </c>
      <c r="D142" s="101">
        <v>30</v>
      </c>
      <c r="E142" s="22">
        <v>1958014.21</v>
      </c>
      <c r="F142" s="22"/>
      <c r="G142" s="102">
        <v>40651.919999999998</v>
      </c>
      <c r="H142" s="77">
        <f t="shared" si="31"/>
        <v>1998666.13</v>
      </c>
      <c r="I142" s="77">
        <f t="shared" si="9"/>
        <v>1998666.13</v>
      </c>
      <c r="J142" s="31"/>
      <c r="K142" s="2"/>
      <c r="L142" s="155"/>
    </row>
    <row r="143" spans="1:12" x14ac:dyDescent="0.2">
      <c r="A143" s="35" t="s">
        <v>145</v>
      </c>
      <c r="B143" s="147">
        <v>42947</v>
      </c>
      <c r="C143" s="148">
        <v>43313</v>
      </c>
      <c r="D143" s="96">
        <v>40</v>
      </c>
      <c r="E143" s="22">
        <v>6300387.5999999996</v>
      </c>
      <c r="F143" s="22"/>
      <c r="G143" s="102">
        <v>92930.72</v>
      </c>
      <c r="H143" s="77">
        <f t="shared" si="31"/>
        <v>6393318.3199999994</v>
      </c>
      <c r="I143" s="77">
        <f t="shared" si="9"/>
        <v>6393318.3199999994</v>
      </c>
      <c r="J143" s="31"/>
      <c r="K143" s="2"/>
      <c r="L143" s="155"/>
    </row>
    <row r="144" spans="1:12" ht="24" x14ac:dyDescent="0.2">
      <c r="A144" s="29" t="s">
        <v>82</v>
      </c>
      <c r="B144" s="147">
        <v>42674</v>
      </c>
      <c r="C144" s="148">
        <v>43435</v>
      </c>
      <c r="D144" s="101">
        <v>60</v>
      </c>
      <c r="E144" s="22">
        <v>8916820.8100000005</v>
      </c>
      <c r="F144" s="22">
        <v>7656.83</v>
      </c>
      <c r="G144" s="22">
        <f>171320.37+2698119.87+343750+21086.32</f>
        <v>3234276.56</v>
      </c>
      <c r="H144" s="77">
        <f t="shared" si="31"/>
        <v>12158754.200000001</v>
      </c>
      <c r="I144" s="77">
        <f t="shared" ref="I144:I149" si="32">H144</f>
        <v>12158754.200000001</v>
      </c>
      <c r="J144" s="31"/>
      <c r="K144" s="2"/>
      <c r="L144" s="159" t="s">
        <v>1145</v>
      </c>
    </row>
    <row r="145" spans="1:12" ht="36" x14ac:dyDescent="0.2">
      <c r="A145" s="29" t="s">
        <v>316</v>
      </c>
      <c r="B145" s="147">
        <v>43039</v>
      </c>
      <c r="C145" s="148">
        <v>43800</v>
      </c>
      <c r="D145" s="101">
        <v>15</v>
      </c>
      <c r="E145" s="22">
        <v>2292677.0299999998</v>
      </c>
      <c r="F145" s="22"/>
      <c r="G145" s="22">
        <v>50095.44</v>
      </c>
      <c r="H145" s="77">
        <f t="shared" si="31"/>
        <v>2342772.4699999997</v>
      </c>
      <c r="I145" s="77">
        <f t="shared" si="32"/>
        <v>2342772.4699999997</v>
      </c>
      <c r="J145" s="119"/>
      <c r="K145" s="28"/>
      <c r="L145" s="155"/>
    </row>
    <row r="146" spans="1:12" ht="36" x14ac:dyDescent="0.2">
      <c r="A146" s="29" t="s">
        <v>317</v>
      </c>
      <c r="B146" s="147">
        <v>43039</v>
      </c>
      <c r="C146" s="148">
        <v>43800</v>
      </c>
      <c r="D146" s="101">
        <v>10</v>
      </c>
      <c r="E146" s="22"/>
      <c r="F146" s="22"/>
      <c r="G146" s="22">
        <v>27925.95</v>
      </c>
      <c r="H146" s="77">
        <f t="shared" si="31"/>
        <v>27925.95</v>
      </c>
      <c r="I146" s="77">
        <f t="shared" si="32"/>
        <v>27925.95</v>
      </c>
      <c r="J146" s="119"/>
      <c r="K146" s="28"/>
      <c r="L146" s="155"/>
    </row>
    <row r="147" spans="1:12" x14ac:dyDescent="0.2">
      <c r="A147" s="29" t="s">
        <v>318</v>
      </c>
      <c r="B147" s="147">
        <v>43039</v>
      </c>
      <c r="C147" s="148">
        <v>43800</v>
      </c>
      <c r="D147" s="101">
        <v>30</v>
      </c>
      <c r="E147" s="22">
        <v>2019543.09</v>
      </c>
      <c r="F147" s="22"/>
      <c r="G147" s="22">
        <v>43576.88</v>
      </c>
      <c r="H147" s="77">
        <f t="shared" si="31"/>
        <v>2063119.97</v>
      </c>
      <c r="I147" s="77">
        <f t="shared" si="32"/>
        <v>2063119.97</v>
      </c>
      <c r="J147" s="119"/>
      <c r="K147" s="28"/>
      <c r="L147" s="155"/>
    </row>
    <row r="148" spans="1:12" x14ac:dyDescent="0.2">
      <c r="A148" s="29" t="s">
        <v>319</v>
      </c>
      <c r="B148" s="147">
        <v>43039</v>
      </c>
      <c r="C148" s="148">
        <v>43800</v>
      </c>
      <c r="D148" s="101">
        <v>30</v>
      </c>
      <c r="E148" s="22">
        <v>1447604.63</v>
      </c>
      <c r="F148" s="22"/>
      <c r="G148" s="22">
        <v>30807.42</v>
      </c>
      <c r="H148" s="77">
        <f t="shared" si="31"/>
        <v>1478412.0499999998</v>
      </c>
      <c r="I148" s="77">
        <f t="shared" si="32"/>
        <v>1478412.0499999998</v>
      </c>
      <c r="J148" s="119"/>
      <c r="K148" s="28"/>
      <c r="L148" s="155"/>
    </row>
    <row r="149" spans="1:12" x14ac:dyDescent="0.2">
      <c r="A149" s="29" t="s">
        <v>320</v>
      </c>
      <c r="B149" s="147">
        <v>43039</v>
      </c>
      <c r="C149" s="148">
        <v>43800</v>
      </c>
      <c r="D149" s="101">
        <v>30</v>
      </c>
      <c r="E149" s="22">
        <v>2087084.55</v>
      </c>
      <c r="F149" s="22"/>
      <c r="G149" s="22">
        <v>40196.79</v>
      </c>
      <c r="H149" s="77">
        <f t="shared" si="31"/>
        <v>2127281.34</v>
      </c>
      <c r="I149" s="77">
        <f t="shared" si="32"/>
        <v>2127281.34</v>
      </c>
      <c r="J149" s="119"/>
      <c r="K149" s="28"/>
      <c r="L149" s="155"/>
    </row>
    <row r="150" spans="1:12" ht="24" x14ac:dyDescent="0.2">
      <c r="A150" s="35" t="s">
        <v>79</v>
      </c>
      <c r="B150" s="147">
        <v>42704</v>
      </c>
      <c r="C150" s="148">
        <v>43435</v>
      </c>
      <c r="D150" s="96">
        <v>50</v>
      </c>
      <c r="E150" s="22"/>
      <c r="F150" s="102">
        <f>423703.39+275.28</f>
        <v>423978.67000000004</v>
      </c>
      <c r="G150" s="22">
        <f>6249.63+31580.85</f>
        <v>37830.479999999996</v>
      </c>
      <c r="H150" s="77">
        <f>E150+F150+G150</f>
        <v>461809.15</v>
      </c>
      <c r="I150" s="77">
        <f>H150</f>
        <v>461809.15</v>
      </c>
      <c r="J150" s="31"/>
      <c r="K150" s="2"/>
      <c r="L150" s="155"/>
    </row>
    <row r="151" spans="1:12" ht="24" x14ac:dyDescent="0.2">
      <c r="A151" s="35" t="s">
        <v>110</v>
      </c>
      <c r="B151" s="147">
        <v>42674</v>
      </c>
      <c r="C151" s="148">
        <v>43435</v>
      </c>
      <c r="D151" s="96">
        <v>50</v>
      </c>
      <c r="E151" s="22">
        <v>423703.39</v>
      </c>
      <c r="F151" s="22">
        <v>7372.92</v>
      </c>
      <c r="G151" s="102">
        <v>41993.58</v>
      </c>
      <c r="H151" s="77">
        <f t="shared" si="31"/>
        <v>473069.89</v>
      </c>
      <c r="I151" s="77">
        <f t="shared" ref="I151:I155" si="33">H151</f>
        <v>473069.89</v>
      </c>
      <c r="J151" s="31"/>
      <c r="K151" s="2"/>
      <c r="L151" s="155"/>
    </row>
    <row r="152" spans="1:12" ht="24" x14ac:dyDescent="0.2">
      <c r="A152" s="36" t="s">
        <v>135</v>
      </c>
      <c r="B152" s="147">
        <v>42704</v>
      </c>
      <c r="C152" s="148">
        <v>43435</v>
      </c>
      <c r="D152" s="96">
        <v>50</v>
      </c>
      <c r="E152" s="22">
        <v>423703.39</v>
      </c>
      <c r="F152" s="22">
        <v>5323.68</v>
      </c>
      <c r="G152" s="22">
        <f>6249.63+42202.92</f>
        <v>48452.549999999996</v>
      </c>
      <c r="H152" s="77">
        <f t="shared" si="31"/>
        <v>477479.62</v>
      </c>
      <c r="I152" s="77">
        <f>H152</f>
        <v>477479.62</v>
      </c>
      <c r="J152" s="31"/>
      <c r="K152" s="2"/>
      <c r="L152" s="155"/>
    </row>
    <row r="153" spans="1:12" ht="24" x14ac:dyDescent="0.2">
      <c r="A153" s="35" t="s">
        <v>111</v>
      </c>
      <c r="B153" s="147">
        <v>42674</v>
      </c>
      <c r="C153" s="148">
        <v>43435</v>
      </c>
      <c r="D153" s="96">
        <v>50</v>
      </c>
      <c r="E153" s="22">
        <v>423703.39</v>
      </c>
      <c r="F153" s="22">
        <v>11667.88</v>
      </c>
      <c r="G153" s="102">
        <v>6249.63</v>
      </c>
      <c r="H153" s="77">
        <f t="shared" si="31"/>
        <v>441620.9</v>
      </c>
      <c r="I153" s="77">
        <f t="shared" si="33"/>
        <v>441620.9</v>
      </c>
      <c r="J153" s="31"/>
      <c r="K153" s="2"/>
      <c r="L153" s="155"/>
    </row>
    <row r="154" spans="1:12" s="24" customFormat="1" ht="24" x14ac:dyDescent="0.2">
      <c r="A154" s="35" t="s">
        <v>121</v>
      </c>
      <c r="B154" s="147">
        <v>42674</v>
      </c>
      <c r="C154" s="148">
        <v>43435</v>
      </c>
      <c r="D154" s="96">
        <v>50</v>
      </c>
      <c r="E154" s="22">
        <v>508474.58</v>
      </c>
      <c r="F154" s="22">
        <v>4071.06</v>
      </c>
      <c r="G154" s="22">
        <f>9670.37+73571.95+73571.94+25684.39</f>
        <v>182498.65000000002</v>
      </c>
      <c r="H154" s="77">
        <f>F154+E154+G154</f>
        <v>695044.29</v>
      </c>
      <c r="I154" s="77">
        <f>H154</f>
        <v>695044.29</v>
      </c>
      <c r="J154" s="31"/>
      <c r="K154" s="22"/>
      <c r="L154" s="110"/>
    </row>
    <row r="155" spans="1:12" x14ac:dyDescent="0.2">
      <c r="A155" s="89" t="s">
        <v>321</v>
      </c>
      <c r="B155" s="147">
        <v>42674</v>
      </c>
      <c r="C155" s="148">
        <v>43435</v>
      </c>
      <c r="D155" s="96">
        <v>50</v>
      </c>
      <c r="E155" s="22"/>
      <c r="F155" s="22">
        <v>423703.39</v>
      </c>
      <c r="G155" s="22">
        <v>6249.63</v>
      </c>
      <c r="H155" s="77">
        <f t="shared" ref="H155" si="34">E155+F155+G155</f>
        <v>429953.02</v>
      </c>
      <c r="I155" s="77">
        <f t="shared" si="33"/>
        <v>429953.02</v>
      </c>
      <c r="J155" s="22"/>
      <c r="K155" s="2"/>
      <c r="L155" s="155"/>
    </row>
    <row r="156" spans="1:12" ht="12" customHeight="1" x14ac:dyDescent="0.2">
      <c r="A156" s="29"/>
      <c r="B156" s="147"/>
      <c r="C156" s="148"/>
      <c r="D156" s="101"/>
      <c r="E156" s="99">
        <f>SUM(E54:E155)</f>
        <v>235490728.93000004</v>
      </c>
      <c r="F156" s="99">
        <f>SUM(F54:F155)</f>
        <v>147805589.88000003</v>
      </c>
      <c r="G156" s="99">
        <f>SUM(G54:G155)</f>
        <v>47082871.729999989</v>
      </c>
      <c r="H156" s="77">
        <f>SUM(H54:H155)</f>
        <v>430379190.5399999</v>
      </c>
      <c r="I156" s="77">
        <f>H156</f>
        <v>430379190.5399999</v>
      </c>
      <c r="J156" s="31"/>
      <c r="K156" s="33"/>
      <c r="L156" s="155"/>
    </row>
    <row r="157" spans="1:12" ht="19.5" customHeight="1" x14ac:dyDescent="0.2">
      <c r="A157" s="32" t="s">
        <v>37</v>
      </c>
      <c r="B157" s="147"/>
      <c r="C157" s="148"/>
      <c r="D157" s="101"/>
      <c r="E157" s="22"/>
      <c r="F157" s="22"/>
      <c r="G157" s="22"/>
      <c r="H157" s="77"/>
      <c r="I157" s="77"/>
      <c r="J157" s="31"/>
      <c r="K157" s="2"/>
      <c r="L157" s="155"/>
    </row>
    <row r="158" spans="1:12" ht="24.75" customHeight="1" x14ac:dyDescent="0.2">
      <c r="A158" s="32" t="s">
        <v>39</v>
      </c>
      <c r="B158" s="147"/>
      <c r="C158" s="148"/>
      <c r="D158" s="101"/>
      <c r="E158" s="102"/>
      <c r="F158" s="22"/>
      <c r="G158" s="22"/>
      <c r="H158" s="77"/>
      <c r="I158" s="77"/>
      <c r="J158" s="31"/>
      <c r="K158" s="2"/>
      <c r="L158" s="155"/>
    </row>
    <row r="159" spans="1:12" ht="39" customHeight="1" x14ac:dyDescent="0.2">
      <c r="A159" s="36" t="s">
        <v>133</v>
      </c>
      <c r="B159" s="147">
        <v>42733</v>
      </c>
      <c r="C159" s="148">
        <v>43600</v>
      </c>
      <c r="D159" s="101">
        <v>50</v>
      </c>
      <c r="E159" s="102">
        <f>348823.89+736275.5</f>
        <v>1085099.3900000001</v>
      </c>
      <c r="F159" s="22"/>
      <c r="G159" s="22">
        <f>27353.83+777280.46+4990.68+9342.42+52467.46</f>
        <v>871434.85</v>
      </c>
      <c r="H159" s="77">
        <f t="shared" ref="H159:H165" si="35">F159+E159+G159</f>
        <v>1956534.2400000002</v>
      </c>
      <c r="I159" s="77">
        <f>H159</f>
        <v>1956534.2400000002</v>
      </c>
      <c r="J159" s="22"/>
      <c r="K159" s="2"/>
      <c r="L159" s="157" t="s">
        <v>1146</v>
      </c>
    </row>
    <row r="160" spans="1:12" ht="39" customHeight="1" x14ac:dyDescent="0.2">
      <c r="A160" s="36" t="s">
        <v>506</v>
      </c>
      <c r="B160" s="147" t="s">
        <v>517</v>
      </c>
      <c r="C160" s="148">
        <v>43465</v>
      </c>
      <c r="D160" s="101">
        <v>30</v>
      </c>
      <c r="E160" s="102"/>
      <c r="F160" s="22"/>
      <c r="G160" s="22">
        <v>1268847.28</v>
      </c>
      <c r="H160" s="77">
        <f t="shared" si="35"/>
        <v>1268847.28</v>
      </c>
      <c r="I160" s="77">
        <f>H160</f>
        <v>1268847.28</v>
      </c>
      <c r="J160" s="22"/>
      <c r="K160" s="2"/>
      <c r="L160" s="155"/>
    </row>
    <row r="161" spans="1:40" s="7" customFormat="1" ht="33.75" customHeight="1" x14ac:dyDescent="0.2">
      <c r="A161" s="35" t="s">
        <v>146</v>
      </c>
      <c r="B161" s="147">
        <v>42906</v>
      </c>
      <c r="C161" s="147">
        <v>43464</v>
      </c>
      <c r="D161" s="101">
        <v>30</v>
      </c>
      <c r="E161" s="22">
        <v>1189450.1599999999</v>
      </c>
      <c r="F161" s="22"/>
      <c r="G161" s="102"/>
      <c r="H161" s="77">
        <f t="shared" si="35"/>
        <v>1189450.1599999999</v>
      </c>
      <c r="I161" s="77">
        <f t="shared" ref="I161:I165" si="36">H161</f>
        <v>1189450.1599999999</v>
      </c>
      <c r="J161" s="31"/>
      <c r="K161" s="6"/>
      <c r="L161" s="161"/>
    </row>
    <row r="162" spans="1:40" s="14" customFormat="1" ht="24" x14ac:dyDescent="0.2">
      <c r="A162" s="36" t="s">
        <v>132</v>
      </c>
      <c r="B162" s="147">
        <v>42717</v>
      </c>
      <c r="C162" s="147">
        <v>43465</v>
      </c>
      <c r="D162" s="96">
        <v>40</v>
      </c>
      <c r="E162" s="103">
        <v>601191.96</v>
      </c>
      <c r="F162" s="103"/>
      <c r="G162" s="22">
        <f>8867.58+10325.32</f>
        <v>19192.900000000001</v>
      </c>
      <c r="H162" s="77">
        <f t="shared" si="35"/>
        <v>620384.86</v>
      </c>
      <c r="I162" s="77">
        <f t="shared" si="36"/>
        <v>620384.86</v>
      </c>
      <c r="J162" s="46"/>
      <c r="K162" s="15"/>
      <c r="L162" s="162"/>
      <c r="M162" s="12"/>
      <c r="N162" s="12"/>
      <c r="O162" s="12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s="49" customFormat="1" ht="27" customHeight="1" x14ac:dyDescent="0.2">
      <c r="A163" s="36" t="s">
        <v>67</v>
      </c>
      <c r="B163" s="147">
        <v>42585</v>
      </c>
      <c r="C163" s="147">
        <v>43465</v>
      </c>
      <c r="D163" s="96">
        <v>80</v>
      </c>
      <c r="E163" s="103">
        <f>604364.9+303357.68+428333.62</f>
        <v>1336056.2000000002</v>
      </c>
      <c r="F163" s="103"/>
      <c r="G163" s="22">
        <f>22831.83+304581+681.8+54965.64+1191.49</f>
        <v>384251.76</v>
      </c>
      <c r="H163" s="77">
        <f t="shared" si="35"/>
        <v>1720307.9600000002</v>
      </c>
      <c r="I163" s="77">
        <f t="shared" si="36"/>
        <v>1720307.9600000002</v>
      </c>
      <c r="J163" s="46"/>
      <c r="K163" s="46"/>
      <c r="L163" s="46"/>
      <c r="M163" s="47"/>
      <c r="N163" s="47"/>
      <c r="O163" s="47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</row>
    <row r="164" spans="1:40" s="7" customFormat="1" ht="26.25" customHeight="1" x14ac:dyDescent="0.2">
      <c r="A164" s="36" t="s">
        <v>129</v>
      </c>
      <c r="B164" s="148">
        <v>42628</v>
      </c>
      <c r="C164" s="148">
        <v>43465</v>
      </c>
      <c r="D164" s="101">
        <v>10</v>
      </c>
      <c r="E164" s="103"/>
      <c r="F164" s="22"/>
      <c r="G164" s="102">
        <v>10729.02</v>
      </c>
      <c r="H164" s="77">
        <f t="shared" si="35"/>
        <v>10729.02</v>
      </c>
      <c r="I164" s="77">
        <f t="shared" si="36"/>
        <v>10729.02</v>
      </c>
      <c r="J164" s="122"/>
      <c r="K164" s="6"/>
      <c r="L164" s="163"/>
    </row>
    <row r="165" spans="1:40" ht="24" x14ac:dyDescent="0.2">
      <c r="A165" s="36" t="s">
        <v>47</v>
      </c>
      <c r="B165" s="147">
        <v>42405</v>
      </c>
      <c r="C165" s="148">
        <v>43160</v>
      </c>
      <c r="D165" s="101">
        <v>40</v>
      </c>
      <c r="E165" s="102">
        <f>469192.63</f>
        <v>469192.63</v>
      </c>
      <c r="F165" s="22"/>
      <c r="G165" s="22">
        <f>11510.24+369016.14</f>
        <v>380526.38</v>
      </c>
      <c r="H165" s="77">
        <f t="shared" si="35"/>
        <v>849719.01</v>
      </c>
      <c r="I165" s="77">
        <f t="shared" si="36"/>
        <v>849719.01</v>
      </c>
      <c r="J165" s="22"/>
      <c r="K165" s="2"/>
      <c r="L165" s="155"/>
    </row>
    <row r="166" spans="1:40" s="7" customFormat="1" ht="26.25" customHeight="1" x14ac:dyDescent="0.2">
      <c r="A166" s="35" t="s">
        <v>147</v>
      </c>
      <c r="B166" s="148">
        <v>42906</v>
      </c>
      <c r="C166" s="147">
        <v>43465</v>
      </c>
      <c r="D166" s="101">
        <v>40</v>
      </c>
      <c r="E166" s="103">
        <v>125636.45</v>
      </c>
      <c r="F166" s="22"/>
      <c r="G166" s="102"/>
      <c r="H166" s="77">
        <f t="shared" ref="H166:H195" si="37">F166+E166+G166</f>
        <v>125636.45</v>
      </c>
      <c r="I166" s="77">
        <f t="shared" ref="I166:I169" si="38">H166</f>
        <v>125636.45</v>
      </c>
      <c r="J166" s="122"/>
      <c r="K166" s="6"/>
      <c r="L166" s="163"/>
    </row>
    <row r="167" spans="1:40" x14ac:dyDescent="0.2">
      <c r="A167" s="35" t="s">
        <v>325</v>
      </c>
      <c r="B167" s="147">
        <v>42794</v>
      </c>
      <c r="C167" s="147">
        <v>43465</v>
      </c>
      <c r="D167" s="101">
        <v>40</v>
      </c>
      <c r="E167" s="102">
        <v>119702.39999999999</v>
      </c>
      <c r="F167" s="22"/>
      <c r="G167" s="22">
        <v>18556.97</v>
      </c>
      <c r="H167" s="77">
        <f t="shared" si="37"/>
        <v>138259.37</v>
      </c>
      <c r="I167" s="77">
        <f>H167</f>
        <v>138259.37</v>
      </c>
      <c r="J167" s="22"/>
      <c r="K167" s="2"/>
      <c r="L167" s="155"/>
    </row>
    <row r="168" spans="1:40" s="7" customFormat="1" ht="26.25" customHeight="1" x14ac:dyDescent="0.2">
      <c r="A168" s="35" t="s">
        <v>148</v>
      </c>
      <c r="B168" s="148">
        <v>42909</v>
      </c>
      <c r="C168" s="147">
        <v>43586</v>
      </c>
      <c r="D168" s="101">
        <v>40</v>
      </c>
      <c r="E168" s="103">
        <f>330369.42+373674.79</f>
        <v>704044.21</v>
      </c>
      <c r="F168" s="22"/>
      <c r="G168" s="102"/>
      <c r="H168" s="77">
        <f t="shared" si="37"/>
        <v>704044.21</v>
      </c>
      <c r="I168" s="77">
        <f t="shared" si="38"/>
        <v>704044.21</v>
      </c>
      <c r="J168" s="122"/>
      <c r="K168" s="6"/>
      <c r="L168" s="157" t="s">
        <v>1147</v>
      </c>
    </row>
    <row r="169" spans="1:40" s="7" customFormat="1" ht="26.25" customHeight="1" x14ac:dyDescent="0.2">
      <c r="A169" s="35" t="s">
        <v>149</v>
      </c>
      <c r="B169" s="148">
        <v>42934</v>
      </c>
      <c r="C169" s="147">
        <v>43586</v>
      </c>
      <c r="D169" s="101">
        <v>30</v>
      </c>
      <c r="E169" s="103">
        <f>6015.56+3484.6+1523.58</f>
        <v>11023.74</v>
      </c>
      <c r="F169" s="22"/>
      <c r="G169" s="102"/>
      <c r="H169" s="77">
        <f t="shared" si="37"/>
        <v>11023.74</v>
      </c>
      <c r="I169" s="77">
        <f t="shared" si="38"/>
        <v>11023.74</v>
      </c>
      <c r="J169" s="122"/>
      <c r="K169" s="6"/>
      <c r="L169" s="163"/>
    </row>
    <row r="170" spans="1:40" x14ac:dyDescent="0.2">
      <c r="A170" s="35" t="s">
        <v>138</v>
      </c>
      <c r="B170" s="147">
        <v>42811</v>
      </c>
      <c r="C170" s="148">
        <v>43465</v>
      </c>
      <c r="D170" s="101">
        <v>30</v>
      </c>
      <c r="E170" s="102"/>
      <c r="F170" s="22"/>
      <c r="G170" s="22">
        <v>9504.5</v>
      </c>
      <c r="H170" s="77">
        <f t="shared" si="37"/>
        <v>9504.5</v>
      </c>
      <c r="I170" s="77">
        <f t="shared" ref="I170:I171" si="39">H170</f>
        <v>9504.5</v>
      </c>
      <c r="J170" s="22"/>
      <c r="K170" s="2"/>
      <c r="L170" s="155"/>
    </row>
    <row r="171" spans="1:40" ht="39" customHeight="1" x14ac:dyDescent="0.2">
      <c r="A171" s="35" t="s">
        <v>140</v>
      </c>
      <c r="B171" s="147">
        <v>42837</v>
      </c>
      <c r="C171" s="148">
        <v>43313</v>
      </c>
      <c r="D171" s="101">
        <v>40</v>
      </c>
      <c r="E171" s="102">
        <v>486525.79</v>
      </c>
      <c r="F171" s="22"/>
      <c r="G171" s="22">
        <f>22521.76+1178.09</f>
        <v>23699.85</v>
      </c>
      <c r="H171" s="77">
        <f t="shared" si="37"/>
        <v>510225.63999999996</v>
      </c>
      <c r="I171" s="77">
        <f t="shared" si="39"/>
        <v>510225.63999999996</v>
      </c>
      <c r="J171" s="22"/>
      <c r="K171" s="2"/>
      <c r="L171" s="155"/>
    </row>
    <row r="172" spans="1:40" x14ac:dyDescent="0.2">
      <c r="A172" s="35" t="s">
        <v>139</v>
      </c>
      <c r="B172" s="147">
        <v>42807</v>
      </c>
      <c r="C172" s="148">
        <v>43435</v>
      </c>
      <c r="D172" s="101">
        <v>40</v>
      </c>
      <c r="E172" s="102">
        <v>69492.600000000006</v>
      </c>
      <c r="F172" s="22"/>
      <c r="G172" s="22">
        <v>10713.29</v>
      </c>
      <c r="H172" s="77">
        <f>F172+E172+G172</f>
        <v>80205.890000000014</v>
      </c>
      <c r="I172" s="77">
        <f>H172</f>
        <v>80205.890000000014</v>
      </c>
      <c r="J172" s="22"/>
      <c r="K172" s="2"/>
      <c r="L172" s="155"/>
    </row>
    <row r="173" spans="1:40" ht="39" customHeight="1" x14ac:dyDescent="0.2">
      <c r="A173" s="35" t="s">
        <v>150</v>
      </c>
      <c r="B173" s="147">
        <v>42928</v>
      </c>
      <c r="C173" s="147">
        <v>43586</v>
      </c>
      <c r="D173" s="101">
        <v>40</v>
      </c>
      <c r="E173" s="102">
        <f>3484.6+1523.58</f>
        <v>5008.18</v>
      </c>
      <c r="F173" s="22"/>
      <c r="G173" s="22">
        <f>6691.4+100000</f>
        <v>106691.4</v>
      </c>
      <c r="H173" s="77">
        <f t="shared" si="37"/>
        <v>111699.57999999999</v>
      </c>
      <c r="I173" s="77">
        <f t="shared" ref="I173:I189" si="40">H173</f>
        <v>111699.57999999999</v>
      </c>
      <c r="J173" s="22"/>
      <c r="K173" s="2"/>
      <c r="L173" s="155"/>
    </row>
    <row r="174" spans="1:40" ht="39" customHeight="1" x14ac:dyDescent="0.2">
      <c r="A174" s="35" t="s">
        <v>507</v>
      </c>
      <c r="B174" s="147">
        <v>43038</v>
      </c>
      <c r="C174" s="147">
        <v>43768</v>
      </c>
      <c r="D174" s="101">
        <v>40</v>
      </c>
      <c r="E174" s="102"/>
      <c r="F174" s="22"/>
      <c r="G174" s="22">
        <v>853672.76</v>
      </c>
      <c r="H174" s="77">
        <f t="shared" si="37"/>
        <v>853672.76</v>
      </c>
      <c r="I174" s="77">
        <f t="shared" si="40"/>
        <v>853672.76</v>
      </c>
      <c r="J174" s="22"/>
      <c r="K174" s="2"/>
      <c r="L174" s="155"/>
    </row>
    <row r="175" spans="1:40" ht="39" customHeight="1" x14ac:dyDescent="0.2">
      <c r="A175" s="35" t="s">
        <v>151</v>
      </c>
      <c r="B175" s="147">
        <v>42922</v>
      </c>
      <c r="C175" s="147">
        <v>43586</v>
      </c>
      <c r="D175" s="101">
        <v>60</v>
      </c>
      <c r="E175" s="102">
        <v>537315.09</v>
      </c>
      <c r="F175" s="22"/>
      <c r="G175" s="22">
        <v>7925.4</v>
      </c>
      <c r="H175" s="77">
        <f t="shared" si="37"/>
        <v>545240.49</v>
      </c>
      <c r="I175" s="77">
        <f t="shared" si="40"/>
        <v>545240.49</v>
      </c>
      <c r="J175" s="22"/>
      <c r="K175" s="2"/>
      <c r="L175" s="155"/>
    </row>
    <row r="176" spans="1:40" ht="39" customHeight="1" x14ac:dyDescent="0.2">
      <c r="A176" s="35" t="s">
        <v>508</v>
      </c>
      <c r="B176" s="147">
        <v>43003</v>
      </c>
      <c r="C176" s="147">
        <v>43733</v>
      </c>
      <c r="D176" s="101">
        <v>40</v>
      </c>
      <c r="E176" s="102">
        <v>597198</v>
      </c>
      <c r="F176" s="22"/>
      <c r="G176" s="22"/>
      <c r="H176" s="77">
        <f t="shared" si="37"/>
        <v>597198</v>
      </c>
      <c r="I176" s="77">
        <f t="shared" si="40"/>
        <v>597198</v>
      </c>
      <c r="J176" s="22"/>
      <c r="K176" s="2"/>
      <c r="L176" s="155"/>
    </row>
    <row r="177" spans="1:12" s="7" customFormat="1" ht="24.75" customHeight="1" x14ac:dyDescent="0.2">
      <c r="A177" s="36" t="s">
        <v>459</v>
      </c>
      <c r="B177" s="147">
        <v>42685</v>
      </c>
      <c r="C177" s="148">
        <v>43374</v>
      </c>
      <c r="D177" s="101">
        <v>90</v>
      </c>
      <c r="E177" s="22">
        <f>29829</f>
        <v>29829</v>
      </c>
      <c r="F177" s="103">
        <f>338983.58+554431.2</f>
        <v>893414.78</v>
      </c>
      <c r="G177" s="123">
        <v>36262.36</v>
      </c>
      <c r="H177" s="77">
        <f>F177+E177+G177</f>
        <v>959506.14</v>
      </c>
      <c r="I177" s="77">
        <f>H177</f>
        <v>959506.14</v>
      </c>
      <c r="J177" s="124"/>
      <c r="K177" s="6"/>
      <c r="L177" s="163"/>
    </row>
    <row r="178" spans="1:12" ht="39" customHeight="1" x14ac:dyDescent="0.2">
      <c r="A178" s="35" t="s">
        <v>152</v>
      </c>
      <c r="B178" s="147">
        <v>42853</v>
      </c>
      <c r="C178" s="147">
        <v>43465</v>
      </c>
      <c r="D178" s="101">
        <v>40</v>
      </c>
      <c r="E178" s="102"/>
      <c r="F178" s="22"/>
      <c r="G178" s="22">
        <v>9997.73</v>
      </c>
      <c r="H178" s="77">
        <f t="shared" si="37"/>
        <v>9997.73</v>
      </c>
      <c r="I178" s="77">
        <f t="shared" si="40"/>
        <v>9997.73</v>
      </c>
      <c r="J178" s="22"/>
      <c r="K178" s="2"/>
      <c r="L178" s="155"/>
    </row>
    <row r="179" spans="1:12" ht="39" customHeight="1" x14ac:dyDescent="0.2">
      <c r="A179" s="35" t="s">
        <v>509</v>
      </c>
      <c r="B179" s="147">
        <v>43052</v>
      </c>
      <c r="C179" s="147">
        <v>43782</v>
      </c>
      <c r="D179" s="101">
        <v>40</v>
      </c>
      <c r="E179" s="102"/>
      <c r="F179" s="22"/>
      <c r="G179" s="22">
        <v>564879.5</v>
      </c>
      <c r="H179" s="77">
        <f t="shared" si="37"/>
        <v>564879.5</v>
      </c>
      <c r="I179" s="77">
        <f t="shared" si="40"/>
        <v>564879.5</v>
      </c>
      <c r="J179" s="22"/>
      <c r="K179" s="2"/>
      <c r="L179" s="155"/>
    </row>
    <row r="180" spans="1:12" ht="39" customHeight="1" x14ac:dyDescent="0.2">
      <c r="A180" s="35" t="s">
        <v>510</v>
      </c>
      <c r="B180" s="147">
        <v>43116</v>
      </c>
      <c r="C180" s="147">
        <v>43846</v>
      </c>
      <c r="D180" s="101">
        <v>30</v>
      </c>
      <c r="E180" s="102"/>
      <c r="F180" s="22"/>
      <c r="G180" s="22">
        <v>333464.63</v>
      </c>
      <c r="H180" s="77">
        <f t="shared" si="37"/>
        <v>333464.63</v>
      </c>
      <c r="I180" s="77">
        <f t="shared" si="40"/>
        <v>333464.63</v>
      </c>
      <c r="J180" s="22"/>
      <c r="K180" s="2"/>
      <c r="L180" s="155"/>
    </row>
    <row r="181" spans="1:12" ht="39" customHeight="1" x14ac:dyDescent="0.2">
      <c r="A181" s="35" t="s">
        <v>153</v>
      </c>
      <c r="B181" s="147">
        <v>42923</v>
      </c>
      <c r="C181" s="147">
        <v>43586</v>
      </c>
      <c r="D181" s="101">
        <v>40</v>
      </c>
      <c r="E181" s="102">
        <v>1605283.42</v>
      </c>
      <c r="F181" s="22"/>
      <c r="G181" s="22">
        <v>40871.53</v>
      </c>
      <c r="H181" s="77">
        <f t="shared" si="37"/>
        <v>1646154.95</v>
      </c>
      <c r="I181" s="77">
        <f t="shared" si="40"/>
        <v>1646154.95</v>
      </c>
      <c r="J181" s="22"/>
      <c r="K181" s="2"/>
      <c r="L181" s="155"/>
    </row>
    <row r="182" spans="1:12" ht="26.25" customHeight="1" x14ac:dyDescent="0.2">
      <c r="A182" s="35" t="s">
        <v>154</v>
      </c>
      <c r="B182" s="147">
        <v>42906</v>
      </c>
      <c r="C182" s="147">
        <v>43556</v>
      </c>
      <c r="D182" s="96">
        <v>40</v>
      </c>
      <c r="E182" s="22">
        <v>542253.6</v>
      </c>
      <c r="F182" s="22"/>
      <c r="G182" s="22">
        <v>7998.24</v>
      </c>
      <c r="H182" s="77">
        <f t="shared" si="37"/>
        <v>550251.84</v>
      </c>
      <c r="I182" s="77">
        <f t="shared" si="40"/>
        <v>550251.84</v>
      </c>
      <c r="J182" s="117"/>
      <c r="K182" s="9"/>
      <c r="L182" s="155"/>
    </row>
    <row r="183" spans="1:12" ht="26.25" customHeight="1" x14ac:dyDescent="0.2">
      <c r="A183" s="35" t="s">
        <v>458</v>
      </c>
      <c r="B183" s="147">
        <v>42858</v>
      </c>
      <c r="C183" s="147">
        <v>43435</v>
      </c>
      <c r="D183" s="96">
        <v>80</v>
      </c>
      <c r="E183" s="22">
        <v>696200.96</v>
      </c>
      <c r="F183" s="22"/>
      <c r="G183" s="22">
        <f>294.23+905.43</f>
        <v>1199.6599999999999</v>
      </c>
      <c r="H183" s="77">
        <f t="shared" si="37"/>
        <v>697400.62</v>
      </c>
      <c r="I183" s="77">
        <f t="shared" si="40"/>
        <v>697400.62</v>
      </c>
      <c r="J183" s="117"/>
      <c r="K183" s="9"/>
      <c r="L183" s="157" t="s">
        <v>1148</v>
      </c>
    </row>
    <row r="184" spans="1:12" ht="39" customHeight="1" x14ac:dyDescent="0.2">
      <c r="A184" s="35" t="s">
        <v>324</v>
      </c>
      <c r="B184" s="147">
        <v>42671</v>
      </c>
      <c r="C184" s="148">
        <v>43282</v>
      </c>
      <c r="D184" s="101">
        <v>90</v>
      </c>
      <c r="E184" s="102">
        <v>517694.74</v>
      </c>
      <c r="F184" s="22"/>
      <c r="G184" s="22">
        <f>7636+1335.5</f>
        <v>8971.5</v>
      </c>
      <c r="H184" s="77">
        <f t="shared" si="37"/>
        <v>526666.23999999999</v>
      </c>
      <c r="I184" s="77">
        <f t="shared" si="40"/>
        <v>526666.23999999999</v>
      </c>
      <c r="J184" s="22"/>
      <c r="K184" s="2"/>
      <c r="L184" s="157" t="s">
        <v>1149</v>
      </c>
    </row>
    <row r="185" spans="1:12" ht="39" customHeight="1" x14ac:dyDescent="0.2">
      <c r="A185" s="35" t="s">
        <v>511</v>
      </c>
      <c r="B185" s="147">
        <v>43041</v>
      </c>
      <c r="C185" s="148">
        <v>43771</v>
      </c>
      <c r="D185" s="101">
        <v>30</v>
      </c>
      <c r="E185" s="102"/>
      <c r="F185" s="22"/>
      <c r="G185" s="22">
        <v>7149.03</v>
      </c>
      <c r="H185" s="77">
        <f t="shared" si="37"/>
        <v>7149.03</v>
      </c>
      <c r="I185" s="77">
        <f t="shared" si="40"/>
        <v>7149.03</v>
      </c>
      <c r="J185" s="22"/>
      <c r="K185" s="2"/>
      <c r="L185" s="155"/>
    </row>
    <row r="186" spans="1:12" ht="39" customHeight="1" x14ac:dyDescent="0.2">
      <c r="A186" s="35" t="s">
        <v>512</v>
      </c>
      <c r="B186" s="147">
        <v>42979</v>
      </c>
      <c r="C186" s="148">
        <v>43709</v>
      </c>
      <c r="D186" s="101">
        <v>40</v>
      </c>
      <c r="E186" s="102"/>
      <c r="F186" s="22"/>
      <c r="G186" s="22">
        <v>316710.38</v>
      </c>
      <c r="H186" s="77">
        <f t="shared" si="37"/>
        <v>316710.38</v>
      </c>
      <c r="I186" s="77">
        <f t="shared" si="40"/>
        <v>316710.38</v>
      </c>
      <c r="J186" s="22"/>
      <c r="K186" s="2"/>
      <c r="L186" s="155"/>
    </row>
    <row r="187" spans="1:12" ht="39" customHeight="1" x14ac:dyDescent="0.2">
      <c r="A187" s="35" t="s">
        <v>513</v>
      </c>
      <c r="B187" s="147">
        <v>42912</v>
      </c>
      <c r="C187" s="148">
        <v>43586</v>
      </c>
      <c r="D187" s="101">
        <v>30</v>
      </c>
      <c r="E187" s="102"/>
      <c r="F187" s="22"/>
      <c r="G187" s="22">
        <v>282000.7</v>
      </c>
      <c r="H187" s="77">
        <f t="shared" si="37"/>
        <v>282000.7</v>
      </c>
      <c r="I187" s="77">
        <f t="shared" si="40"/>
        <v>282000.7</v>
      </c>
      <c r="J187" s="22"/>
      <c r="K187" s="2"/>
      <c r="L187" s="155"/>
    </row>
    <row r="188" spans="1:12" ht="39" customHeight="1" x14ac:dyDescent="0.2">
      <c r="A188" s="35" t="s">
        <v>514</v>
      </c>
      <c r="B188" s="147">
        <v>42961</v>
      </c>
      <c r="C188" s="148">
        <v>43691</v>
      </c>
      <c r="D188" s="101">
        <v>40</v>
      </c>
      <c r="E188" s="102">
        <v>1307700.82</v>
      </c>
      <c r="F188" s="22"/>
      <c r="G188" s="22"/>
      <c r="H188" s="77">
        <f t="shared" si="37"/>
        <v>1307700.82</v>
      </c>
      <c r="I188" s="77">
        <f t="shared" si="40"/>
        <v>1307700.82</v>
      </c>
      <c r="J188" s="22"/>
      <c r="K188" s="2"/>
      <c r="L188" s="155"/>
    </row>
    <row r="189" spans="1:12" ht="39" customHeight="1" x14ac:dyDescent="0.2">
      <c r="A189" s="35" t="s">
        <v>515</v>
      </c>
      <c r="B189" s="147">
        <v>43017</v>
      </c>
      <c r="C189" s="148">
        <v>43465</v>
      </c>
      <c r="D189" s="101">
        <v>40</v>
      </c>
      <c r="E189" s="102">
        <v>1111463.6399999999</v>
      </c>
      <c r="F189" s="22"/>
      <c r="G189" s="22"/>
      <c r="H189" s="77">
        <f t="shared" si="37"/>
        <v>1111463.6399999999</v>
      </c>
      <c r="I189" s="77">
        <f t="shared" si="40"/>
        <v>1111463.6399999999</v>
      </c>
      <c r="J189" s="22"/>
      <c r="K189" s="2"/>
      <c r="L189" s="155"/>
    </row>
    <row r="190" spans="1:12" ht="28.5" customHeight="1" x14ac:dyDescent="0.2">
      <c r="A190" s="36" t="s">
        <v>44</v>
      </c>
      <c r="B190" s="147">
        <v>42733</v>
      </c>
      <c r="C190" s="148">
        <v>43600</v>
      </c>
      <c r="D190" s="96">
        <v>40</v>
      </c>
      <c r="E190" s="22">
        <f>2154179.95+633455.24</f>
        <v>2787635.1900000004</v>
      </c>
      <c r="F190" s="22">
        <f>910501.25+16339045.76+14752553.16</f>
        <v>32002100.169999998</v>
      </c>
      <c r="G190" s="22">
        <f>71847.02+85200+340800+25568.31+47045.68+47045.69+402531.27+20291.3+111752.56+1028.94+1057.44</f>
        <v>1154168.21</v>
      </c>
      <c r="H190" s="77">
        <f t="shared" si="37"/>
        <v>35943903.57</v>
      </c>
      <c r="I190" s="77">
        <f t="shared" ref="I190:I196" si="41">H190</f>
        <v>35943903.57</v>
      </c>
      <c r="J190" s="22"/>
      <c r="K190" s="3"/>
      <c r="L190" s="157" t="s">
        <v>1150</v>
      </c>
    </row>
    <row r="191" spans="1:12" s="7" customFormat="1" ht="24.75" customHeight="1" x14ac:dyDescent="0.2">
      <c r="A191" s="36" t="s">
        <v>460</v>
      </c>
      <c r="B191" s="147">
        <v>42710</v>
      </c>
      <c r="C191" s="148">
        <v>43405</v>
      </c>
      <c r="D191" s="101">
        <v>40</v>
      </c>
      <c r="E191" s="22">
        <f>47000+231009.77</f>
        <v>278009.77</v>
      </c>
      <c r="F191" s="103">
        <v>609298.02</v>
      </c>
      <c r="G191" s="123"/>
      <c r="H191" s="77">
        <f t="shared" si="37"/>
        <v>887307.79</v>
      </c>
      <c r="I191" s="77">
        <f t="shared" si="41"/>
        <v>887307.79</v>
      </c>
      <c r="J191" s="122"/>
      <c r="K191" s="6"/>
      <c r="L191" s="163"/>
    </row>
    <row r="192" spans="1:12" s="7" customFormat="1" ht="24.75" customHeight="1" x14ac:dyDescent="0.2">
      <c r="A192" s="36" t="s">
        <v>516</v>
      </c>
      <c r="B192" s="147">
        <v>42912</v>
      </c>
      <c r="C192" s="148">
        <v>43647</v>
      </c>
      <c r="D192" s="101">
        <v>30</v>
      </c>
      <c r="E192" s="22"/>
      <c r="F192" s="103"/>
      <c r="G192" s="102">
        <v>34177.870000000003</v>
      </c>
      <c r="H192" s="77">
        <f t="shared" si="37"/>
        <v>34177.870000000003</v>
      </c>
      <c r="I192" s="77">
        <f t="shared" si="41"/>
        <v>34177.870000000003</v>
      </c>
      <c r="J192" s="122"/>
      <c r="K192" s="6"/>
      <c r="L192" s="163"/>
    </row>
    <row r="193" spans="1:37" s="7" customFormat="1" ht="24.75" customHeight="1" x14ac:dyDescent="0.2">
      <c r="A193" s="36" t="s">
        <v>140</v>
      </c>
      <c r="B193" s="147">
        <v>42837</v>
      </c>
      <c r="C193" s="148">
        <v>43221</v>
      </c>
      <c r="D193" s="101">
        <v>40</v>
      </c>
      <c r="E193" s="22">
        <v>1040373.21</v>
      </c>
      <c r="F193" s="103"/>
      <c r="G193" s="102">
        <f>6377.35+21.44+96.48</f>
        <v>6495.2699999999995</v>
      </c>
      <c r="H193" s="77">
        <f t="shared" si="37"/>
        <v>1046868.48</v>
      </c>
      <c r="I193" s="77">
        <f t="shared" si="41"/>
        <v>1046868.48</v>
      </c>
      <c r="J193" s="122"/>
      <c r="K193" s="6"/>
      <c r="L193" s="163"/>
    </row>
    <row r="194" spans="1:37" ht="39" customHeight="1" x14ac:dyDescent="0.2">
      <c r="A194" s="36" t="s">
        <v>43</v>
      </c>
      <c r="B194" s="147">
        <v>42331</v>
      </c>
      <c r="C194" s="148">
        <v>43282</v>
      </c>
      <c r="D194" s="101">
        <v>40</v>
      </c>
      <c r="E194" s="102">
        <v>424486.65</v>
      </c>
      <c r="F194" s="22"/>
      <c r="G194" s="22">
        <f>10115.77+93490+80000</f>
        <v>183605.77000000002</v>
      </c>
      <c r="H194" s="77">
        <f t="shared" si="37"/>
        <v>608092.42000000004</v>
      </c>
      <c r="I194" s="77">
        <f t="shared" si="41"/>
        <v>608092.42000000004</v>
      </c>
      <c r="J194" s="22"/>
      <c r="K194" s="2"/>
      <c r="L194" s="155"/>
    </row>
    <row r="195" spans="1:37" ht="33" customHeight="1" x14ac:dyDescent="0.2">
      <c r="A195" s="36" t="s">
        <v>45</v>
      </c>
      <c r="B195" s="147">
        <v>42289</v>
      </c>
      <c r="C195" s="147">
        <v>43282</v>
      </c>
      <c r="D195" s="96">
        <v>90</v>
      </c>
      <c r="E195" s="22">
        <v>309500</v>
      </c>
      <c r="F195" s="22"/>
      <c r="G195" s="22"/>
      <c r="H195" s="77">
        <f t="shared" si="37"/>
        <v>309500</v>
      </c>
      <c r="I195" s="77">
        <f t="shared" si="41"/>
        <v>309500</v>
      </c>
      <c r="J195" s="22"/>
      <c r="K195" s="3"/>
      <c r="L195" s="155"/>
    </row>
    <row r="196" spans="1:37" s="7" customFormat="1" ht="15.75" customHeight="1" x14ac:dyDescent="0.2">
      <c r="A196" s="35"/>
      <c r="B196" s="147"/>
      <c r="C196" s="147"/>
      <c r="D196" s="101"/>
      <c r="E196" s="99">
        <f>SUM(E159:E195)</f>
        <v>17987367.799999997</v>
      </c>
      <c r="F196" s="99">
        <f>SUM(F159:F195)</f>
        <v>33504812.969999999</v>
      </c>
      <c r="G196" s="99">
        <f>SUM(G159:G195)</f>
        <v>6953698.7400000002</v>
      </c>
      <c r="H196" s="77">
        <f>SUM(H159:H195)</f>
        <v>58445879.509999998</v>
      </c>
      <c r="I196" s="77">
        <f t="shared" si="41"/>
        <v>58445879.509999998</v>
      </c>
      <c r="J196" s="122"/>
      <c r="K196" s="6"/>
      <c r="L196" s="163"/>
    </row>
    <row r="197" spans="1:37" ht="24.75" customHeight="1" x14ac:dyDescent="0.2">
      <c r="A197" s="32" t="s">
        <v>30</v>
      </c>
      <c r="B197" s="147"/>
      <c r="C197" s="147"/>
      <c r="D197" s="96"/>
      <c r="E197" s="22"/>
      <c r="F197" s="22"/>
      <c r="G197" s="22"/>
      <c r="H197" s="87"/>
      <c r="I197" s="87"/>
      <c r="J197" s="119"/>
      <c r="K197" s="28"/>
      <c r="L197" s="155"/>
    </row>
    <row r="198" spans="1:37" s="7" customFormat="1" ht="24" customHeight="1" x14ac:dyDescent="0.2">
      <c r="A198" s="37" t="s">
        <v>202</v>
      </c>
      <c r="B198" s="147"/>
      <c r="C198" s="148"/>
      <c r="D198" s="101"/>
      <c r="E198" s="104"/>
      <c r="F198" s="104"/>
      <c r="G198" s="22"/>
      <c r="H198" s="52"/>
      <c r="I198" s="77"/>
      <c r="J198" s="125"/>
      <c r="K198" s="16"/>
      <c r="L198" s="163"/>
    </row>
    <row r="199" spans="1:37" s="5" customFormat="1" ht="24" outlineLevel="1" x14ac:dyDescent="0.2">
      <c r="A199" s="89" t="s">
        <v>518</v>
      </c>
      <c r="B199" s="148">
        <v>42886</v>
      </c>
      <c r="C199" s="147" t="s">
        <v>519</v>
      </c>
      <c r="D199" s="96">
        <v>70</v>
      </c>
      <c r="E199" s="100"/>
      <c r="F199" s="103">
        <v>25000</v>
      </c>
      <c r="G199" s="100"/>
      <c r="H199" s="77">
        <v>25000</v>
      </c>
      <c r="I199" s="77">
        <v>25000</v>
      </c>
      <c r="J199" s="63"/>
      <c r="K199" s="60"/>
      <c r="L199" s="16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s="7" customFormat="1" ht="24" customHeight="1" outlineLevel="1" x14ac:dyDescent="0.2">
      <c r="A200" s="89" t="s">
        <v>520</v>
      </c>
      <c r="B200" s="148">
        <v>43159</v>
      </c>
      <c r="C200" s="147">
        <v>43465</v>
      </c>
      <c r="D200" s="96">
        <v>20</v>
      </c>
      <c r="E200" s="100"/>
      <c r="F200" s="103">
        <v>12073.93</v>
      </c>
      <c r="G200" s="100"/>
      <c r="H200" s="77">
        <v>12073.93</v>
      </c>
      <c r="I200" s="77">
        <v>12073.93</v>
      </c>
      <c r="J200" s="63"/>
      <c r="K200" s="60"/>
      <c r="L200" s="163"/>
    </row>
    <row r="201" spans="1:37" s="40" customFormat="1" ht="26.25" customHeight="1" outlineLevel="1" x14ac:dyDescent="0.2">
      <c r="A201" s="89" t="s">
        <v>48</v>
      </c>
      <c r="B201" s="148">
        <v>43119</v>
      </c>
      <c r="C201" s="147">
        <v>43220</v>
      </c>
      <c r="D201" s="96">
        <v>90</v>
      </c>
      <c r="E201" s="103">
        <v>74000</v>
      </c>
      <c r="F201" s="103">
        <v>61583.63</v>
      </c>
      <c r="G201" s="100"/>
      <c r="H201" s="77">
        <v>135583.63</v>
      </c>
      <c r="I201" s="77">
        <v>135583.63</v>
      </c>
      <c r="J201" s="63"/>
      <c r="K201" s="60"/>
      <c r="L201" s="155"/>
    </row>
    <row r="202" spans="1:37" s="40" customFormat="1" ht="25.5" customHeight="1" outlineLevel="1" x14ac:dyDescent="0.2">
      <c r="A202" s="89" t="s">
        <v>521</v>
      </c>
      <c r="B202" s="148">
        <v>43151</v>
      </c>
      <c r="C202" s="147">
        <v>43465</v>
      </c>
      <c r="D202" s="96">
        <v>20</v>
      </c>
      <c r="E202" s="103"/>
      <c r="F202" s="103">
        <v>45000</v>
      </c>
      <c r="G202" s="100"/>
      <c r="H202" s="77">
        <v>45000</v>
      </c>
      <c r="I202" s="77">
        <v>45000</v>
      </c>
      <c r="J202" s="63"/>
      <c r="K202" s="60"/>
      <c r="L202" s="155"/>
    </row>
    <row r="203" spans="1:37" s="5" customFormat="1" ht="24" outlineLevel="1" x14ac:dyDescent="0.2">
      <c r="A203" s="89" t="s">
        <v>522</v>
      </c>
      <c r="B203" s="148">
        <v>43159</v>
      </c>
      <c r="C203" s="147">
        <v>43465</v>
      </c>
      <c r="D203" s="96">
        <v>20</v>
      </c>
      <c r="E203" s="103"/>
      <c r="F203" s="103">
        <v>9763.2099999999991</v>
      </c>
      <c r="G203" s="100"/>
      <c r="H203" s="77">
        <v>9763.2099999999991</v>
      </c>
      <c r="I203" s="77">
        <v>9763.2099999999991</v>
      </c>
      <c r="J203" s="63"/>
      <c r="K203" s="60"/>
      <c r="L203" s="16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s="5" customFormat="1" ht="24" outlineLevel="1" x14ac:dyDescent="0.2">
      <c r="A204" s="89" t="s">
        <v>523</v>
      </c>
      <c r="B204" s="148">
        <v>43131</v>
      </c>
      <c r="C204" s="147">
        <v>43373</v>
      </c>
      <c r="D204" s="96">
        <v>65</v>
      </c>
      <c r="E204" s="103"/>
      <c r="F204" s="103">
        <v>9239.42</v>
      </c>
      <c r="G204" s="100"/>
      <c r="H204" s="77">
        <v>9239.42</v>
      </c>
      <c r="I204" s="77">
        <v>9239.42</v>
      </c>
      <c r="J204" s="63"/>
      <c r="K204" s="60"/>
      <c r="L204" s="16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s="5" customFormat="1" ht="24" outlineLevel="1" x14ac:dyDescent="0.2">
      <c r="A205" s="89" t="s">
        <v>203</v>
      </c>
      <c r="B205" s="148">
        <v>43007</v>
      </c>
      <c r="C205" s="147">
        <v>43251</v>
      </c>
      <c r="D205" s="96">
        <v>70</v>
      </c>
      <c r="E205" s="103"/>
      <c r="F205" s="103">
        <v>15960.88</v>
      </c>
      <c r="G205" s="100"/>
      <c r="H205" s="77">
        <v>15960.88</v>
      </c>
      <c r="I205" s="77">
        <v>15960.88</v>
      </c>
      <c r="J205" s="63"/>
      <c r="K205" s="60"/>
      <c r="L205" s="16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s="40" customFormat="1" ht="25.5" customHeight="1" outlineLevel="1" x14ac:dyDescent="0.2">
      <c r="A206" s="89" t="s">
        <v>524</v>
      </c>
      <c r="B206" s="148">
        <v>43189</v>
      </c>
      <c r="C206" s="147">
        <v>43465</v>
      </c>
      <c r="D206" s="96">
        <v>20</v>
      </c>
      <c r="E206" s="103"/>
      <c r="F206" s="103">
        <v>23009.39</v>
      </c>
      <c r="G206" s="100"/>
      <c r="H206" s="77">
        <v>23009.39</v>
      </c>
      <c r="I206" s="77">
        <v>23009.39</v>
      </c>
      <c r="J206" s="63"/>
      <c r="K206" s="60"/>
      <c r="L206" s="155"/>
    </row>
    <row r="207" spans="1:37" s="7" customFormat="1" ht="28.5" customHeight="1" outlineLevel="1" x14ac:dyDescent="0.2">
      <c r="A207" s="89" t="s">
        <v>525</v>
      </c>
      <c r="B207" s="148">
        <v>43189</v>
      </c>
      <c r="C207" s="147">
        <v>43465</v>
      </c>
      <c r="D207" s="96">
        <v>40</v>
      </c>
      <c r="E207" s="103"/>
      <c r="F207" s="103">
        <v>8919.65</v>
      </c>
      <c r="G207" s="100"/>
      <c r="H207" s="77">
        <v>8919.65</v>
      </c>
      <c r="I207" s="77">
        <v>8919.65</v>
      </c>
      <c r="J207" s="63"/>
      <c r="K207" s="60"/>
      <c r="L207" s="163"/>
    </row>
    <row r="208" spans="1:37" s="7" customFormat="1" ht="28.5" customHeight="1" outlineLevel="1" x14ac:dyDescent="0.2">
      <c r="A208" s="89" t="s">
        <v>526</v>
      </c>
      <c r="B208" s="148">
        <v>43159</v>
      </c>
      <c r="C208" s="147">
        <v>43404</v>
      </c>
      <c r="D208" s="96">
        <v>40</v>
      </c>
      <c r="E208" s="103"/>
      <c r="F208" s="103">
        <v>4656.24</v>
      </c>
      <c r="G208" s="100"/>
      <c r="H208" s="77">
        <v>4656.24</v>
      </c>
      <c r="I208" s="77">
        <v>4656.24</v>
      </c>
      <c r="J208" s="63"/>
      <c r="K208" s="60"/>
      <c r="L208" s="163"/>
    </row>
    <row r="209" spans="1:37" s="7" customFormat="1" ht="26.25" customHeight="1" outlineLevel="1" x14ac:dyDescent="0.2">
      <c r="A209" s="89" t="s">
        <v>527</v>
      </c>
      <c r="B209" s="148">
        <v>43159</v>
      </c>
      <c r="C209" s="147">
        <v>43404</v>
      </c>
      <c r="D209" s="96">
        <v>40</v>
      </c>
      <c r="E209" s="103"/>
      <c r="F209" s="103">
        <v>11769.25</v>
      </c>
      <c r="G209" s="100"/>
      <c r="H209" s="77">
        <v>11769.25</v>
      </c>
      <c r="I209" s="77">
        <v>11769.25</v>
      </c>
      <c r="J209" s="63"/>
      <c r="K209" s="60"/>
      <c r="L209" s="163"/>
    </row>
    <row r="210" spans="1:37" s="7" customFormat="1" ht="26.25" customHeight="1" outlineLevel="1" x14ac:dyDescent="0.2">
      <c r="A210" s="89" t="s">
        <v>528</v>
      </c>
      <c r="B210" s="148">
        <v>43189</v>
      </c>
      <c r="C210" s="147">
        <v>43373</v>
      </c>
      <c r="D210" s="96">
        <v>60</v>
      </c>
      <c r="E210" s="103"/>
      <c r="F210" s="103">
        <v>10162.86</v>
      </c>
      <c r="G210" s="100"/>
      <c r="H210" s="77">
        <v>10162.86</v>
      </c>
      <c r="I210" s="77">
        <v>10162.86</v>
      </c>
      <c r="J210" s="63"/>
      <c r="K210" s="60"/>
      <c r="L210" s="163"/>
    </row>
    <row r="211" spans="1:37" s="7" customFormat="1" ht="26.25" customHeight="1" outlineLevel="1" x14ac:dyDescent="0.2">
      <c r="A211" s="89" t="s">
        <v>529</v>
      </c>
      <c r="B211" s="148">
        <v>43131</v>
      </c>
      <c r="C211" s="147">
        <v>43404</v>
      </c>
      <c r="D211" s="96">
        <v>20</v>
      </c>
      <c r="E211" s="103"/>
      <c r="F211" s="103">
        <v>5310.98</v>
      </c>
      <c r="G211" s="100"/>
      <c r="H211" s="77">
        <v>5310.98</v>
      </c>
      <c r="I211" s="77">
        <v>5310.98</v>
      </c>
      <c r="J211" s="63"/>
      <c r="K211" s="60"/>
      <c r="L211" s="163"/>
    </row>
    <row r="212" spans="1:37" s="7" customFormat="1" ht="28.5" customHeight="1" outlineLevel="1" x14ac:dyDescent="0.2">
      <c r="A212" s="89" t="s">
        <v>530</v>
      </c>
      <c r="B212" s="148">
        <v>43159</v>
      </c>
      <c r="C212" s="147">
        <v>43404</v>
      </c>
      <c r="D212" s="96">
        <v>40</v>
      </c>
      <c r="E212" s="103"/>
      <c r="F212" s="103">
        <v>4787.1899999999996</v>
      </c>
      <c r="G212" s="100"/>
      <c r="H212" s="77">
        <v>4787.1899999999996</v>
      </c>
      <c r="I212" s="77">
        <v>4787.1899999999996</v>
      </c>
      <c r="J212" s="63"/>
      <c r="K212" s="60"/>
      <c r="L212" s="163"/>
    </row>
    <row r="213" spans="1:37" s="19" customFormat="1" ht="24" outlineLevel="1" x14ac:dyDescent="0.2">
      <c r="A213" s="89" t="s">
        <v>531</v>
      </c>
      <c r="B213" s="148">
        <v>43131</v>
      </c>
      <c r="C213" s="147">
        <v>43465</v>
      </c>
      <c r="D213" s="96">
        <v>20</v>
      </c>
      <c r="E213" s="103"/>
      <c r="F213" s="103">
        <v>5572.87</v>
      </c>
      <c r="G213" s="100"/>
      <c r="H213" s="77">
        <v>5572.87</v>
      </c>
      <c r="I213" s="77">
        <v>5572.87</v>
      </c>
      <c r="J213" s="63"/>
      <c r="K213" s="60"/>
      <c r="L213" s="165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</row>
    <row r="214" spans="1:37" s="40" customFormat="1" ht="27.75" customHeight="1" outlineLevel="1" x14ac:dyDescent="0.2">
      <c r="A214" s="89" t="s">
        <v>204</v>
      </c>
      <c r="B214" s="148">
        <v>42824</v>
      </c>
      <c r="C214" s="147">
        <v>43465</v>
      </c>
      <c r="D214" s="96">
        <v>45</v>
      </c>
      <c r="E214" s="103"/>
      <c r="F214" s="22">
        <v>37128.949999999997</v>
      </c>
      <c r="G214" s="100"/>
      <c r="H214" s="87">
        <v>37128.949999999997</v>
      </c>
      <c r="I214" s="87">
        <v>37128.949999999997</v>
      </c>
      <c r="J214" s="63"/>
      <c r="K214" s="60"/>
      <c r="L214" s="155"/>
    </row>
    <row r="215" spans="1:37" s="7" customFormat="1" ht="28.5" customHeight="1" outlineLevel="1" x14ac:dyDescent="0.2">
      <c r="A215" s="89" t="s">
        <v>49</v>
      </c>
      <c r="B215" s="147">
        <v>42389</v>
      </c>
      <c r="C215" s="147">
        <v>43465</v>
      </c>
      <c r="D215" s="96">
        <v>40</v>
      </c>
      <c r="E215" s="103"/>
      <c r="F215" s="22">
        <v>13943.55</v>
      </c>
      <c r="G215" s="100"/>
      <c r="H215" s="87">
        <v>13943.55</v>
      </c>
      <c r="I215" s="87">
        <v>13943.55</v>
      </c>
      <c r="J215" s="63"/>
      <c r="K215" s="60"/>
      <c r="L215" s="163"/>
    </row>
    <row r="216" spans="1:37" s="7" customFormat="1" ht="26.25" customHeight="1" outlineLevel="1" x14ac:dyDescent="0.2">
      <c r="A216" s="89" t="s">
        <v>56</v>
      </c>
      <c r="B216" s="147">
        <v>42527</v>
      </c>
      <c r="C216" s="148">
        <v>43281</v>
      </c>
      <c r="D216" s="96">
        <v>20</v>
      </c>
      <c r="E216" s="103"/>
      <c r="F216" s="103">
        <v>5509.1</v>
      </c>
      <c r="G216" s="100"/>
      <c r="H216" s="77">
        <v>5509.1</v>
      </c>
      <c r="I216" s="77">
        <v>5509.1</v>
      </c>
      <c r="J216" s="63"/>
      <c r="K216" s="60"/>
      <c r="L216" s="163"/>
    </row>
    <row r="217" spans="1:37" s="7" customFormat="1" ht="28.5" customHeight="1" outlineLevel="1" x14ac:dyDescent="0.2">
      <c r="A217" s="89" t="s">
        <v>57</v>
      </c>
      <c r="B217" s="147">
        <v>42478</v>
      </c>
      <c r="C217" s="147">
        <v>43465</v>
      </c>
      <c r="D217" s="96">
        <v>40</v>
      </c>
      <c r="E217" s="103"/>
      <c r="F217" s="103">
        <v>36445.300000000003</v>
      </c>
      <c r="G217" s="100"/>
      <c r="H217" s="77">
        <v>36445.300000000003</v>
      </c>
      <c r="I217" s="77">
        <v>36445.300000000003</v>
      </c>
      <c r="J217" s="63"/>
      <c r="K217" s="60"/>
      <c r="L217" s="163"/>
    </row>
    <row r="218" spans="1:37" s="7" customFormat="1" ht="28.5" customHeight="1" outlineLevel="1" x14ac:dyDescent="0.2">
      <c r="A218" s="89" t="s">
        <v>205</v>
      </c>
      <c r="B218" s="148">
        <v>42551</v>
      </c>
      <c r="C218" s="147">
        <v>43465</v>
      </c>
      <c r="D218" s="96">
        <v>20</v>
      </c>
      <c r="E218" s="103"/>
      <c r="F218" s="103">
        <v>3772.34</v>
      </c>
      <c r="G218" s="100"/>
      <c r="H218" s="77">
        <v>3772.34</v>
      </c>
      <c r="I218" s="77">
        <v>3772.34</v>
      </c>
      <c r="J218" s="63"/>
      <c r="K218" s="60"/>
      <c r="L218" s="163"/>
    </row>
    <row r="219" spans="1:37" s="40" customFormat="1" ht="27" customHeight="1" outlineLevel="1" x14ac:dyDescent="0.2">
      <c r="A219" s="89" t="s">
        <v>206</v>
      </c>
      <c r="B219" s="148">
        <v>42794</v>
      </c>
      <c r="C219" s="147">
        <v>43404</v>
      </c>
      <c r="D219" s="96">
        <v>50</v>
      </c>
      <c r="E219" s="103"/>
      <c r="F219" s="103">
        <v>3000</v>
      </c>
      <c r="G219" s="100"/>
      <c r="H219" s="77">
        <v>3000</v>
      </c>
      <c r="I219" s="77">
        <v>3000</v>
      </c>
      <c r="J219" s="63"/>
      <c r="K219" s="60"/>
      <c r="L219" s="155"/>
    </row>
    <row r="220" spans="1:37" s="7" customFormat="1" ht="28.5" customHeight="1" outlineLevel="1" x14ac:dyDescent="0.2">
      <c r="A220" s="89" t="s">
        <v>532</v>
      </c>
      <c r="B220" s="148">
        <v>43131</v>
      </c>
      <c r="C220" s="147">
        <v>43251</v>
      </c>
      <c r="D220" s="96">
        <v>50</v>
      </c>
      <c r="E220" s="103"/>
      <c r="F220" s="103">
        <v>6358.56</v>
      </c>
      <c r="G220" s="100"/>
      <c r="H220" s="77">
        <v>6358.56</v>
      </c>
      <c r="I220" s="77">
        <v>6358.56</v>
      </c>
      <c r="J220" s="63"/>
      <c r="K220" s="60"/>
      <c r="L220" s="163"/>
    </row>
    <row r="221" spans="1:37" s="40" customFormat="1" ht="27" customHeight="1" outlineLevel="1" x14ac:dyDescent="0.2">
      <c r="A221" s="89" t="s">
        <v>207</v>
      </c>
      <c r="B221" s="148">
        <v>42766</v>
      </c>
      <c r="C221" s="147">
        <v>43220</v>
      </c>
      <c r="D221" s="96">
        <v>90</v>
      </c>
      <c r="E221" s="103"/>
      <c r="F221" s="103">
        <v>965.92</v>
      </c>
      <c r="G221" s="100"/>
      <c r="H221" s="77">
        <v>965.92</v>
      </c>
      <c r="I221" s="77">
        <v>965.92</v>
      </c>
      <c r="J221" s="63"/>
      <c r="K221" s="60"/>
      <c r="L221" s="155"/>
    </row>
    <row r="222" spans="1:37" s="40" customFormat="1" ht="27" customHeight="1" outlineLevel="1" x14ac:dyDescent="0.2">
      <c r="A222" s="89" t="s">
        <v>50</v>
      </c>
      <c r="B222" s="147">
        <v>42400</v>
      </c>
      <c r="C222" s="148">
        <v>43281</v>
      </c>
      <c r="D222" s="96">
        <v>50</v>
      </c>
      <c r="E222" s="103"/>
      <c r="F222" s="22">
        <v>79799.77</v>
      </c>
      <c r="G222" s="100"/>
      <c r="H222" s="87">
        <v>79799.77</v>
      </c>
      <c r="I222" s="87">
        <v>79799.77</v>
      </c>
      <c r="J222" s="63"/>
      <c r="K222" s="60"/>
      <c r="L222" s="155"/>
    </row>
    <row r="223" spans="1:37" s="40" customFormat="1" ht="27" customHeight="1" outlineLevel="1" x14ac:dyDescent="0.2">
      <c r="A223" s="89" t="s">
        <v>533</v>
      </c>
      <c r="B223" s="148">
        <v>43131</v>
      </c>
      <c r="C223" s="147">
        <v>43455</v>
      </c>
      <c r="D223" s="96">
        <v>20</v>
      </c>
      <c r="E223" s="103"/>
      <c r="F223" s="103">
        <v>4775.6099999999997</v>
      </c>
      <c r="G223" s="100"/>
      <c r="H223" s="77">
        <v>4775.6099999999997</v>
      </c>
      <c r="I223" s="77">
        <v>4775.6099999999997</v>
      </c>
      <c r="J223" s="63"/>
      <c r="K223" s="60"/>
      <c r="L223" s="155"/>
    </row>
    <row r="224" spans="1:37" s="7" customFormat="1" ht="28.5" customHeight="1" outlineLevel="1" x14ac:dyDescent="0.2">
      <c r="A224" s="89" t="s">
        <v>208</v>
      </c>
      <c r="B224" s="148">
        <v>43007</v>
      </c>
      <c r="C224" s="147">
        <v>43251</v>
      </c>
      <c r="D224" s="96">
        <v>80</v>
      </c>
      <c r="E224" s="103"/>
      <c r="F224" s="103">
        <v>3000</v>
      </c>
      <c r="G224" s="100"/>
      <c r="H224" s="77">
        <v>3000</v>
      </c>
      <c r="I224" s="77">
        <v>3000</v>
      </c>
      <c r="J224" s="63"/>
      <c r="K224" s="60"/>
      <c r="L224" s="163"/>
    </row>
    <row r="225" spans="1:37" s="7" customFormat="1" ht="27" customHeight="1" outlineLevel="1" x14ac:dyDescent="0.2">
      <c r="A225" s="89" t="s">
        <v>326</v>
      </c>
      <c r="B225" s="148">
        <v>43039</v>
      </c>
      <c r="C225" s="147">
        <v>43465</v>
      </c>
      <c r="D225" s="96">
        <v>20</v>
      </c>
      <c r="E225" s="103"/>
      <c r="F225" s="103">
        <v>12581.73</v>
      </c>
      <c r="G225" s="100"/>
      <c r="H225" s="77">
        <v>12581.73</v>
      </c>
      <c r="I225" s="77">
        <v>12581.73</v>
      </c>
      <c r="J225" s="63"/>
      <c r="K225" s="60"/>
      <c r="L225" s="163"/>
    </row>
    <row r="226" spans="1:37" s="40" customFormat="1" ht="27" customHeight="1" outlineLevel="1" x14ac:dyDescent="0.2">
      <c r="A226" s="89" t="s">
        <v>209</v>
      </c>
      <c r="B226" s="148">
        <v>42643</v>
      </c>
      <c r="C226" s="147">
        <v>43465</v>
      </c>
      <c r="D226" s="96">
        <v>50</v>
      </c>
      <c r="E226" s="103"/>
      <c r="F226" s="103">
        <v>28772.34</v>
      </c>
      <c r="G226" s="100"/>
      <c r="H226" s="77">
        <v>28772.34</v>
      </c>
      <c r="I226" s="77">
        <v>28772.34</v>
      </c>
      <c r="J226" s="63"/>
      <c r="K226" s="60"/>
      <c r="L226" s="155"/>
    </row>
    <row r="227" spans="1:37" s="40" customFormat="1" ht="27" customHeight="1" outlineLevel="1" x14ac:dyDescent="0.2">
      <c r="A227" s="89" t="s">
        <v>327</v>
      </c>
      <c r="B227" s="148">
        <v>43098</v>
      </c>
      <c r="C227" s="147">
        <v>43220</v>
      </c>
      <c r="D227" s="96">
        <v>90</v>
      </c>
      <c r="E227" s="103"/>
      <c r="F227" s="103">
        <v>6096.67</v>
      </c>
      <c r="G227" s="100"/>
      <c r="H227" s="77">
        <v>6096.67</v>
      </c>
      <c r="I227" s="77">
        <v>6096.67</v>
      </c>
      <c r="J227" s="63"/>
      <c r="K227" s="60"/>
      <c r="L227" s="155"/>
    </row>
    <row r="228" spans="1:37" s="19" customFormat="1" ht="24" outlineLevel="1" x14ac:dyDescent="0.2">
      <c r="A228" s="89" t="s">
        <v>534</v>
      </c>
      <c r="B228" s="148">
        <v>43039</v>
      </c>
      <c r="C228" s="147">
        <v>43465</v>
      </c>
      <c r="D228" s="96">
        <v>20</v>
      </c>
      <c r="E228" s="103"/>
      <c r="F228" s="103">
        <v>16945.7</v>
      </c>
      <c r="G228" s="100"/>
      <c r="H228" s="77">
        <v>16945.7</v>
      </c>
      <c r="I228" s="77">
        <v>16945.7</v>
      </c>
      <c r="J228" s="63"/>
      <c r="K228" s="60"/>
      <c r="L228" s="165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</row>
    <row r="229" spans="1:37" s="40" customFormat="1" ht="27" customHeight="1" outlineLevel="1" x14ac:dyDescent="0.2">
      <c r="A229" s="89" t="s">
        <v>328</v>
      </c>
      <c r="B229" s="148">
        <v>43098</v>
      </c>
      <c r="C229" s="147">
        <v>43465</v>
      </c>
      <c r="D229" s="96">
        <v>40</v>
      </c>
      <c r="E229" s="103"/>
      <c r="F229" s="103">
        <v>7463.45</v>
      </c>
      <c r="G229" s="100"/>
      <c r="H229" s="77">
        <v>7463.45</v>
      </c>
      <c r="I229" s="77">
        <v>7463.45</v>
      </c>
      <c r="J229" s="63"/>
      <c r="K229" s="60"/>
      <c r="L229" s="155"/>
    </row>
    <row r="230" spans="1:37" s="19" customFormat="1" ht="24" outlineLevel="1" x14ac:dyDescent="0.2">
      <c r="A230" s="89" t="s">
        <v>535</v>
      </c>
      <c r="B230" s="148">
        <v>43189</v>
      </c>
      <c r="C230" s="147">
        <v>43465</v>
      </c>
      <c r="D230" s="96">
        <v>20</v>
      </c>
      <c r="E230" s="103"/>
      <c r="F230" s="103">
        <v>5604.42</v>
      </c>
      <c r="G230" s="100"/>
      <c r="H230" s="77">
        <v>5604.42</v>
      </c>
      <c r="I230" s="77">
        <v>5604.42</v>
      </c>
      <c r="J230" s="63"/>
      <c r="K230" s="60"/>
      <c r="L230" s="165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</row>
    <row r="231" spans="1:37" s="40" customFormat="1" ht="27" customHeight="1" outlineLevel="1" x14ac:dyDescent="0.2">
      <c r="A231" s="89" t="s">
        <v>58</v>
      </c>
      <c r="B231" s="147">
        <v>42527</v>
      </c>
      <c r="C231" s="147">
        <v>43465</v>
      </c>
      <c r="D231" s="96">
        <v>20</v>
      </c>
      <c r="E231" s="103"/>
      <c r="F231" s="103">
        <v>30509.1</v>
      </c>
      <c r="G231" s="100"/>
      <c r="H231" s="77">
        <v>30509.1</v>
      </c>
      <c r="I231" s="77">
        <v>30509.1</v>
      </c>
      <c r="J231" s="63"/>
      <c r="K231" s="60"/>
      <c r="L231" s="155"/>
    </row>
    <row r="232" spans="1:37" s="7" customFormat="1" ht="26.25" customHeight="1" outlineLevel="1" x14ac:dyDescent="0.2">
      <c r="A232" s="89" t="s">
        <v>329</v>
      </c>
      <c r="B232" s="148">
        <v>43039</v>
      </c>
      <c r="C232" s="147">
        <v>43465</v>
      </c>
      <c r="D232" s="96">
        <v>50</v>
      </c>
      <c r="E232" s="103"/>
      <c r="F232" s="103">
        <v>3000</v>
      </c>
      <c r="G232" s="100"/>
      <c r="H232" s="77">
        <v>3000</v>
      </c>
      <c r="I232" s="77">
        <v>3000</v>
      </c>
      <c r="J232" s="63"/>
      <c r="K232" s="60"/>
      <c r="L232" s="163"/>
    </row>
    <row r="233" spans="1:37" s="7" customFormat="1" ht="27" customHeight="1" outlineLevel="1" x14ac:dyDescent="0.2">
      <c r="A233" s="89" t="s">
        <v>330</v>
      </c>
      <c r="B233" s="148">
        <v>43039</v>
      </c>
      <c r="C233" s="147">
        <v>43465</v>
      </c>
      <c r="D233" s="96">
        <v>20</v>
      </c>
      <c r="E233" s="126"/>
      <c r="F233" s="103">
        <v>3000</v>
      </c>
      <c r="G233" s="100"/>
      <c r="H233" s="77">
        <v>3000</v>
      </c>
      <c r="I233" s="77">
        <v>3000</v>
      </c>
      <c r="J233" s="63"/>
      <c r="K233" s="60"/>
      <c r="L233" s="163"/>
    </row>
    <row r="234" spans="1:37" s="19" customFormat="1" ht="24" outlineLevel="1" x14ac:dyDescent="0.2">
      <c r="A234" s="89" t="s">
        <v>331</v>
      </c>
      <c r="B234" s="148">
        <v>43039</v>
      </c>
      <c r="C234" s="147">
        <v>43404</v>
      </c>
      <c r="D234" s="96">
        <v>60</v>
      </c>
      <c r="E234" s="103"/>
      <c r="F234" s="103">
        <v>10709.5</v>
      </c>
      <c r="G234" s="100"/>
      <c r="H234" s="77">
        <v>10709.5</v>
      </c>
      <c r="I234" s="77">
        <v>10709.5</v>
      </c>
      <c r="J234" s="63"/>
      <c r="K234" s="60"/>
      <c r="L234" s="165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</row>
    <row r="235" spans="1:37" s="7" customFormat="1" ht="27" customHeight="1" outlineLevel="1" x14ac:dyDescent="0.2">
      <c r="A235" s="89" t="s">
        <v>51</v>
      </c>
      <c r="B235" s="147">
        <v>42389</v>
      </c>
      <c r="C235" s="147">
        <v>43465</v>
      </c>
      <c r="D235" s="96">
        <v>20</v>
      </c>
      <c r="E235" s="103"/>
      <c r="F235" s="22">
        <v>51583.59</v>
      </c>
      <c r="G235" s="100"/>
      <c r="H235" s="87">
        <v>51583.59</v>
      </c>
      <c r="I235" s="87">
        <v>51583.59</v>
      </c>
      <c r="J235" s="63"/>
      <c r="K235" s="60"/>
      <c r="L235" s="163"/>
    </row>
    <row r="236" spans="1:37" s="7" customFormat="1" ht="30" customHeight="1" outlineLevel="1" x14ac:dyDescent="0.2">
      <c r="A236" s="89" t="s">
        <v>59</v>
      </c>
      <c r="B236" s="147">
        <v>42478</v>
      </c>
      <c r="C236" s="147">
        <v>43404</v>
      </c>
      <c r="D236" s="96">
        <v>30</v>
      </c>
      <c r="E236" s="103"/>
      <c r="F236" s="103">
        <v>12161.83</v>
      </c>
      <c r="G236" s="100"/>
      <c r="H236" s="77">
        <v>12161.83</v>
      </c>
      <c r="I236" s="77">
        <v>12161.83</v>
      </c>
      <c r="J236" s="63"/>
      <c r="K236" s="60"/>
      <c r="L236" s="163"/>
    </row>
    <row r="237" spans="1:37" s="7" customFormat="1" ht="33.75" customHeight="1" outlineLevel="1" x14ac:dyDescent="0.2">
      <c r="A237" s="89" t="s">
        <v>210</v>
      </c>
      <c r="B237" s="148">
        <v>42613</v>
      </c>
      <c r="C237" s="147">
        <v>43220</v>
      </c>
      <c r="D237" s="96">
        <v>90</v>
      </c>
      <c r="E237" s="103"/>
      <c r="F237" s="103">
        <v>2203.64</v>
      </c>
      <c r="G237" s="103">
        <v>454.05</v>
      </c>
      <c r="H237" s="77">
        <v>2657.69</v>
      </c>
      <c r="I237" s="77">
        <v>2657.69</v>
      </c>
      <c r="J237" s="63"/>
      <c r="K237" s="60"/>
      <c r="L237" s="163"/>
    </row>
    <row r="238" spans="1:37" s="40" customFormat="1" ht="27" customHeight="1" outlineLevel="1" x14ac:dyDescent="0.2">
      <c r="A238" s="89" t="s">
        <v>0</v>
      </c>
      <c r="B238" s="147">
        <v>42326</v>
      </c>
      <c r="C238" s="147">
        <v>43465</v>
      </c>
      <c r="D238" s="96">
        <v>60</v>
      </c>
      <c r="E238" s="103"/>
      <c r="F238" s="22">
        <v>77164.960000000006</v>
      </c>
      <c r="G238" s="100"/>
      <c r="H238" s="87">
        <v>77164.960000000006</v>
      </c>
      <c r="I238" s="87">
        <v>77164.960000000006</v>
      </c>
      <c r="J238" s="63"/>
      <c r="K238" s="60"/>
      <c r="L238" s="155"/>
    </row>
    <row r="239" spans="1:37" s="7" customFormat="1" ht="33.75" customHeight="1" outlineLevel="1" x14ac:dyDescent="0.2">
      <c r="A239" s="89" t="s">
        <v>536</v>
      </c>
      <c r="B239" s="148">
        <v>43131</v>
      </c>
      <c r="C239" s="147">
        <v>43465</v>
      </c>
      <c r="D239" s="96">
        <v>20</v>
      </c>
      <c r="E239" s="103"/>
      <c r="F239" s="103">
        <v>7469.24</v>
      </c>
      <c r="G239" s="22"/>
      <c r="H239" s="77">
        <v>7469.24</v>
      </c>
      <c r="I239" s="77">
        <v>7469.24</v>
      </c>
      <c r="J239" s="63"/>
      <c r="K239" s="60"/>
      <c r="L239" s="163"/>
    </row>
    <row r="240" spans="1:37" s="7" customFormat="1" ht="29.25" customHeight="1" outlineLevel="1" x14ac:dyDescent="0.2">
      <c r="A240" s="89" t="s">
        <v>40</v>
      </c>
      <c r="B240" s="147">
        <v>42268</v>
      </c>
      <c r="C240" s="148">
        <v>43281</v>
      </c>
      <c r="D240" s="96">
        <v>50</v>
      </c>
      <c r="E240" s="103"/>
      <c r="F240" s="22">
        <v>9581.82</v>
      </c>
      <c r="G240" s="103"/>
      <c r="H240" s="87">
        <v>9581.82</v>
      </c>
      <c r="I240" s="87">
        <v>9581.82</v>
      </c>
      <c r="J240" s="63"/>
      <c r="K240" s="60"/>
      <c r="L240" s="163"/>
    </row>
    <row r="241" spans="1:40" s="7" customFormat="1" ht="28.5" customHeight="1" outlineLevel="1" x14ac:dyDescent="0.2">
      <c r="A241" s="89" t="s">
        <v>332</v>
      </c>
      <c r="B241" s="148">
        <v>43039</v>
      </c>
      <c r="C241" s="147">
        <v>43465</v>
      </c>
      <c r="D241" s="96">
        <v>20</v>
      </c>
      <c r="E241" s="103"/>
      <c r="F241" s="103">
        <v>3000</v>
      </c>
      <c r="G241" s="22"/>
      <c r="H241" s="77">
        <v>3000</v>
      </c>
      <c r="I241" s="77">
        <v>3000</v>
      </c>
      <c r="J241" s="63"/>
      <c r="K241" s="60"/>
      <c r="L241" s="163"/>
    </row>
    <row r="242" spans="1:40" s="19" customFormat="1" ht="24" outlineLevel="1" x14ac:dyDescent="0.2">
      <c r="A242" s="89" t="s">
        <v>1</v>
      </c>
      <c r="B242" s="147">
        <v>42326</v>
      </c>
      <c r="C242" s="147">
        <v>43220</v>
      </c>
      <c r="D242" s="96">
        <v>90</v>
      </c>
      <c r="E242" s="103">
        <v>57000</v>
      </c>
      <c r="F242" s="103">
        <v>39944.449999999997</v>
      </c>
      <c r="G242" s="103"/>
      <c r="H242" s="77">
        <v>96944.45</v>
      </c>
      <c r="I242" s="77">
        <v>96944.45</v>
      </c>
      <c r="J242" s="63"/>
      <c r="K242" s="60"/>
      <c r="L242" s="165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</row>
    <row r="243" spans="1:40" s="40" customFormat="1" ht="27" customHeight="1" outlineLevel="1" x14ac:dyDescent="0.2">
      <c r="A243" s="89" t="s">
        <v>60</v>
      </c>
      <c r="B243" s="148">
        <v>43031</v>
      </c>
      <c r="C243" s="147">
        <v>43220</v>
      </c>
      <c r="D243" s="96">
        <v>90</v>
      </c>
      <c r="E243" s="103">
        <v>12000</v>
      </c>
      <c r="F243" s="103">
        <v>3148.06</v>
      </c>
      <c r="G243" s="103"/>
      <c r="H243" s="77">
        <v>15148.06</v>
      </c>
      <c r="I243" s="77">
        <v>15148.06</v>
      </c>
      <c r="J243" s="63"/>
      <c r="K243" s="60"/>
      <c r="L243" s="155"/>
    </row>
    <row r="244" spans="1:40" s="40" customFormat="1" ht="27" customHeight="1" outlineLevel="1" x14ac:dyDescent="0.2">
      <c r="A244" s="89" t="s">
        <v>211</v>
      </c>
      <c r="B244" s="148">
        <v>42613</v>
      </c>
      <c r="C244" s="147">
        <v>43465</v>
      </c>
      <c r="D244" s="96">
        <v>20</v>
      </c>
      <c r="E244" s="22"/>
      <c r="F244" s="103">
        <v>5492.87</v>
      </c>
      <c r="G244" s="103"/>
      <c r="H244" s="77">
        <v>5492.87</v>
      </c>
      <c r="I244" s="77">
        <v>5492.87</v>
      </c>
      <c r="J244" s="63"/>
      <c r="K244" s="60"/>
      <c r="L244" s="155"/>
    </row>
    <row r="245" spans="1:40" s="7" customFormat="1" ht="28.5" customHeight="1" outlineLevel="1" x14ac:dyDescent="0.2">
      <c r="A245" s="89" t="s">
        <v>537</v>
      </c>
      <c r="B245" s="148">
        <v>43189</v>
      </c>
      <c r="C245" s="147">
        <v>43465</v>
      </c>
      <c r="D245" s="96">
        <v>20</v>
      </c>
      <c r="E245" s="103"/>
      <c r="F245" s="103">
        <v>5572.87</v>
      </c>
      <c r="G245" s="100"/>
      <c r="H245" s="77">
        <v>5572.87</v>
      </c>
      <c r="I245" s="77">
        <v>5572.87</v>
      </c>
      <c r="J245" s="63"/>
      <c r="K245" s="60"/>
      <c r="L245" s="163"/>
    </row>
    <row r="246" spans="1:40" s="7" customFormat="1" ht="28.5" customHeight="1" outlineLevel="1" x14ac:dyDescent="0.2">
      <c r="A246" s="89" t="s">
        <v>538</v>
      </c>
      <c r="B246" s="148">
        <v>42886</v>
      </c>
      <c r="C246" s="147">
        <v>43220</v>
      </c>
      <c r="D246" s="96">
        <v>90</v>
      </c>
      <c r="E246" s="103"/>
      <c r="F246" s="103">
        <v>3000</v>
      </c>
      <c r="G246" s="100"/>
      <c r="H246" s="77">
        <v>3000</v>
      </c>
      <c r="I246" s="77">
        <v>3000</v>
      </c>
      <c r="J246" s="63"/>
      <c r="K246" s="60"/>
      <c r="L246" s="163"/>
    </row>
    <row r="247" spans="1:40" s="40" customFormat="1" ht="27" customHeight="1" outlineLevel="1" x14ac:dyDescent="0.2">
      <c r="A247" s="89" t="s">
        <v>333</v>
      </c>
      <c r="B247" s="148">
        <v>43098</v>
      </c>
      <c r="C247" s="147">
        <v>43465</v>
      </c>
      <c r="D247" s="96">
        <v>20</v>
      </c>
      <c r="E247" s="103"/>
      <c r="F247" s="103">
        <v>5572.87</v>
      </c>
      <c r="G247" s="100"/>
      <c r="H247" s="77">
        <v>5572.87</v>
      </c>
      <c r="I247" s="77">
        <v>5572.87</v>
      </c>
      <c r="J247" s="63"/>
      <c r="K247" s="60"/>
      <c r="L247" s="155"/>
    </row>
    <row r="248" spans="1:40" s="40" customFormat="1" ht="27" customHeight="1" outlineLevel="1" x14ac:dyDescent="0.2">
      <c r="A248" s="89" t="s">
        <v>539</v>
      </c>
      <c r="B248" s="148">
        <v>43189</v>
      </c>
      <c r="C248" s="147">
        <v>43404</v>
      </c>
      <c r="D248" s="96">
        <v>40</v>
      </c>
      <c r="E248" s="103"/>
      <c r="F248" s="103">
        <v>4982.8100000000004</v>
      </c>
      <c r="G248" s="100"/>
      <c r="H248" s="77">
        <v>4982.8100000000004</v>
      </c>
      <c r="I248" s="77">
        <v>4982.8100000000004</v>
      </c>
      <c r="J248" s="63"/>
      <c r="K248" s="60"/>
      <c r="L248" s="155"/>
    </row>
    <row r="249" spans="1:40" s="5" customFormat="1" ht="24" outlineLevel="1" x14ac:dyDescent="0.2">
      <c r="A249" s="89" t="s">
        <v>212</v>
      </c>
      <c r="B249" s="148">
        <v>42886</v>
      </c>
      <c r="C249" s="147">
        <v>43465</v>
      </c>
      <c r="D249" s="96">
        <v>20</v>
      </c>
      <c r="E249" s="22">
        <v>99000</v>
      </c>
      <c r="F249" s="22">
        <v>15000</v>
      </c>
      <c r="G249" s="100"/>
      <c r="H249" s="77">
        <v>114000</v>
      </c>
      <c r="I249" s="77">
        <v>114000</v>
      </c>
      <c r="J249" s="63"/>
      <c r="K249" s="60"/>
      <c r="L249" s="16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40" s="14" customFormat="1" ht="12" customHeight="1" outlineLevel="1" x14ac:dyDescent="0.2">
      <c r="A250" s="89" t="s">
        <v>540</v>
      </c>
      <c r="B250" s="148">
        <v>43189</v>
      </c>
      <c r="C250" s="147">
        <v>43343</v>
      </c>
      <c r="D250" s="96">
        <v>50</v>
      </c>
      <c r="E250" s="22"/>
      <c r="F250" s="103">
        <v>6226.02</v>
      </c>
      <c r="G250" s="100"/>
      <c r="H250" s="77">
        <v>6226.02</v>
      </c>
      <c r="I250" s="77">
        <v>6226.02</v>
      </c>
      <c r="J250" s="63"/>
      <c r="K250" s="60"/>
      <c r="L250" s="162"/>
      <c r="M250" s="12"/>
      <c r="N250" s="12"/>
      <c r="O250" s="12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s="40" customFormat="1" ht="27" customHeight="1" outlineLevel="1" x14ac:dyDescent="0.2">
      <c r="A251" s="89" t="s">
        <v>541</v>
      </c>
      <c r="B251" s="148">
        <v>43159</v>
      </c>
      <c r="C251" s="147">
        <v>43465</v>
      </c>
      <c r="D251" s="96">
        <v>20</v>
      </c>
      <c r="E251" s="22"/>
      <c r="F251" s="103">
        <v>6278.59</v>
      </c>
      <c r="G251" s="100"/>
      <c r="H251" s="77">
        <v>6278.59</v>
      </c>
      <c r="I251" s="77">
        <v>6278.59</v>
      </c>
      <c r="J251" s="63"/>
      <c r="K251" s="60"/>
      <c r="L251" s="155"/>
    </row>
    <row r="252" spans="1:40" s="14" customFormat="1" ht="12" customHeight="1" outlineLevel="1" x14ac:dyDescent="0.2">
      <c r="A252" s="89" t="s">
        <v>542</v>
      </c>
      <c r="B252" s="148">
        <v>43131</v>
      </c>
      <c r="C252" s="147">
        <v>43465</v>
      </c>
      <c r="D252" s="96">
        <v>20</v>
      </c>
      <c r="E252" s="22"/>
      <c r="F252" s="103">
        <v>5572.87</v>
      </c>
      <c r="G252" s="100"/>
      <c r="H252" s="77">
        <v>5572.87</v>
      </c>
      <c r="I252" s="77">
        <v>5572.87</v>
      </c>
      <c r="J252" s="63"/>
      <c r="K252" s="60"/>
      <c r="L252" s="162"/>
      <c r="M252" s="12"/>
      <c r="N252" s="12"/>
      <c r="O252" s="12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s="14" customFormat="1" ht="12" customHeight="1" outlineLevel="1" x14ac:dyDescent="0.2">
      <c r="A253" s="89" t="s">
        <v>213</v>
      </c>
      <c r="B253" s="148">
        <v>42794</v>
      </c>
      <c r="C253" s="147">
        <v>43251</v>
      </c>
      <c r="D253" s="96">
        <v>50</v>
      </c>
      <c r="E253" s="22"/>
      <c r="F253" s="103">
        <v>10937.26</v>
      </c>
      <c r="G253" s="100"/>
      <c r="H253" s="77">
        <v>10937.26</v>
      </c>
      <c r="I253" s="77">
        <v>10937.26</v>
      </c>
      <c r="J253" s="63"/>
      <c r="K253" s="60"/>
      <c r="L253" s="162"/>
      <c r="M253" s="12"/>
      <c r="N253" s="12"/>
      <c r="O253" s="12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s="14" customFormat="1" ht="12" customHeight="1" outlineLevel="1" x14ac:dyDescent="0.2">
      <c r="A254" s="89" t="s">
        <v>334</v>
      </c>
      <c r="B254" s="148">
        <v>43098</v>
      </c>
      <c r="C254" s="147">
        <v>43220</v>
      </c>
      <c r="D254" s="96">
        <v>90</v>
      </c>
      <c r="E254" s="22"/>
      <c r="F254" s="103">
        <v>5811.62</v>
      </c>
      <c r="G254" s="100"/>
      <c r="H254" s="77">
        <v>5811.62</v>
      </c>
      <c r="I254" s="77">
        <v>5811.62</v>
      </c>
      <c r="J254" s="63"/>
      <c r="K254" s="60"/>
      <c r="L254" s="162"/>
      <c r="M254" s="12"/>
      <c r="N254" s="12"/>
      <c r="O254" s="12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s="14" customFormat="1" ht="12" customHeight="1" outlineLevel="1" x14ac:dyDescent="0.2">
      <c r="A255" s="89" t="s">
        <v>543</v>
      </c>
      <c r="B255" s="148">
        <v>43159</v>
      </c>
      <c r="C255" s="147">
        <v>43404</v>
      </c>
      <c r="D255" s="96">
        <v>40</v>
      </c>
      <c r="E255" s="22"/>
      <c r="F255" s="103">
        <v>10025.11</v>
      </c>
      <c r="G255" s="100"/>
      <c r="H255" s="77">
        <v>10025.11</v>
      </c>
      <c r="I255" s="77">
        <v>10025.11</v>
      </c>
      <c r="J255" s="63"/>
      <c r="K255" s="60"/>
      <c r="L255" s="162"/>
      <c r="M255" s="12"/>
      <c r="N255" s="12"/>
      <c r="O255" s="12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s="14" customFormat="1" ht="29.25" customHeight="1" outlineLevel="1" x14ac:dyDescent="0.2">
      <c r="A256" s="89" t="s">
        <v>214</v>
      </c>
      <c r="B256" s="148">
        <v>42947</v>
      </c>
      <c r="C256" s="147" t="s">
        <v>544</v>
      </c>
      <c r="D256" s="96">
        <v>20</v>
      </c>
      <c r="E256" s="22"/>
      <c r="F256" s="103">
        <v>23000</v>
      </c>
      <c r="G256" s="100"/>
      <c r="H256" s="77">
        <v>23000</v>
      </c>
      <c r="I256" s="77">
        <v>23000</v>
      </c>
      <c r="J256" s="63"/>
      <c r="K256" s="60"/>
      <c r="L256" s="162"/>
      <c r="M256" s="12"/>
      <c r="N256" s="12"/>
      <c r="O256" s="12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s="14" customFormat="1" ht="12" customHeight="1" outlineLevel="1" x14ac:dyDescent="0.2">
      <c r="A257" s="89" t="s">
        <v>545</v>
      </c>
      <c r="B257" s="148">
        <v>43131</v>
      </c>
      <c r="C257" s="147">
        <v>43465</v>
      </c>
      <c r="D257" s="96">
        <v>20</v>
      </c>
      <c r="E257" s="22"/>
      <c r="F257" s="103">
        <v>11613.28</v>
      </c>
      <c r="G257" s="100"/>
      <c r="H257" s="77">
        <v>11613.28</v>
      </c>
      <c r="I257" s="77">
        <v>11613.28</v>
      </c>
      <c r="J257" s="63"/>
      <c r="K257" s="60"/>
      <c r="L257" s="162"/>
      <c r="M257" s="12"/>
      <c r="N257" s="12"/>
      <c r="O257" s="12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s="14" customFormat="1" ht="12" customHeight="1" outlineLevel="1" x14ac:dyDescent="0.2">
      <c r="A258" s="89" t="s">
        <v>546</v>
      </c>
      <c r="B258" s="148">
        <v>43131</v>
      </c>
      <c r="C258" s="147">
        <v>43465</v>
      </c>
      <c r="D258" s="96">
        <v>40</v>
      </c>
      <c r="E258" s="22"/>
      <c r="F258" s="103">
        <v>5190.01</v>
      </c>
      <c r="G258" s="100"/>
      <c r="H258" s="77">
        <v>5190.01</v>
      </c>
      <c r="I258" s="77">
        <v>5190.01</v>
      </c>
      <c r="J258" s="63"/>
      <c r="K258" s="60"/>
      <c r="L258" s="162"/>
      <c r="M258" s="12"/>
      <c r="N258" s="12"/>
      <c r="O258" s="12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s="40" customFormat="1" ht="27" customHeight="1" outlineLevel="1" x14ac:dyDescent="0.2">
      <c r="A259" s="89" t="s">
        <v>215</v>
      </c>
      <c r="B259" s="148">
        <v>42727</v>
      </c>
      <c r="C259" s="147">
        <v>43465</v>
      </c>
      <c r="D259" s="96">
        <v>20</v>
      </c>
      <c r="E259" s="22"/>
      <c r="F259" s="103">
        <v>3380.75</v>
      </c>
      <c r="G259" s="100"/>
      <c r="H259" s="77">
        <v>3380.75</v>
      </c>
      <c r="I259" s="77">
        <v>3380.75</v>
      </c>
      <c r="J259" s="63"/>
      <c r="K259" s="60"/>
      <c r="L259" s="155"/>
    </row>
    <row r="260" spans="1:40" s="14" customFormat="1" ht="24" outlineLevel="1" x14ac:dyDescent="0.2">
      <c r="A260" s="89" t="s">
        <v>335</v>
      </c>
      <c r="B260" s="148">
        <v>43069</v>
      </c>
      <c r="C260" s="147">
        <v>43251</v>
      </c>
      <c r="D260" s="96">
        <v>80</v>
      </c>
      <c r="E260" s="22"/>
      <c r="F260" s="103">
        <v>4924.46</v>
      </c>
      <c r="G260" s="100"/>
      <c r="H260" s="77">
        <v>4924.46</v>
      </c>
      <c r="I260" s="77">
        <v>4924.46</v>
      </c>
      <c r="J260" s="63"/>
      <c r="K260" s="60"/>
      <c r="L260" s="162"/>
      <c r="M260" s="12"/>
      <c r="N260" s="12"/>
      <c r="O260" s="12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s="7" customFormat="1" ht="27" customHeight="1" outlineLevel="1" x14ac:dyDescent="0.2">
      <c r="A261" s="89" t="s">
        <v>216</v>
      </c>
      <c r="B261" s="148">
        <v>42794</v>
      </c>
      <c r="C261" s="147">
        <v>43251</v>
      </c>
      <c r="D261" s="96">
        <v>80</v>
      </c>
      <c r="E261" s="22"/>
      <c r="F261" s="103">
        <v>11405.88</v>
      </c>
      <c r="G261" s="100"/>
      <c r="H261" s="77">
        <v>11405.88</v>
      </c>
      <c r="I261" s="77">
        <v>11405.88</v>
      </c>
      <c r="J261" s="63"/>
      <c r="K261" s="60"/>
      <c r="L261" s="163"/>
    </row>
    <row r="262" spans="1:40" s="14" customFormat="1" ht="24" outlineLevel="1" x14ac:dyDescent="0.2">
      <c r="A262" s="89" t="s">
        <v>217</v>
      </c>
      <c r="B262" s="148">
        <v>42674</v>
      </c>
      <c r="C262" s="147">
        <v>43465</v>
      </c>
      <c r="D262" s="96">
        <v>20</v>
      </c>
      <c r="E262" s="22"/>
      <c r="F262" s="103">
        <v>372.7</v>
      </c>
      <c r="G262" s="100"/>
      <c r="H262" s="77">
        <v>372.7</v>
      </c>
      <c r="I262" s="77">
        <v>372.7</v>
      </c>
      <c r="J262" s="63"/>
      <c r="K262" s="60"/>
      <c r="L262" s="162"/>
      <c r="M262" s="12"/>
      <c r="N262" s="12"/>
      <c r="O262" s="12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s="7" customFormat="1" ht="27" customHeight="1" outlineLevel="1" x14ac:dyDescent="0.2">
      <c r="A263" s="89" t="s">
        <v>218</v>
      </c>
      <c r="B263" s="148">
        <v>42766</v>
      </c>
      <c r="C263" s="147">
        <v>43465</v>
      </c>
      <c r="D263" s="96">
        <v>50</v>
      </c>
      <c r="E263" s="22"/>
      <c r="F263" s="103">
        <v>3965.91</v>
      </c>
      <c r="G263" s="100"/>
      <c r="H263" s="77">
        <v>3965.91</v>
      </c>
      <c r="I263" s="77">
        <v>3965.91</v>
      </c>
      <c r="J263" s="63"/>
      <c r="K263" s="60"/>
      <c r="L263" s="163"/>
    </row>
    <row r="264" spans="1:40" s="40" customFormat="1" ht="27" customHeight="1" outlineLevel="1" x14ac:dyDescent="0.2">
      <c r="A264" s="89" t="s">
        <v>219</v>
      </c>
      <c r="B264" s="148">
        <v>42655</v>
      </c>
      <c r="C264" s="147">
        <v>43465</v>
      </c>
      <c r="D264" s="96">
        <v>50</v>
      </c>
      <c r="E264" s="22"/>
      <c r="F264" s="103">
        <v>5559.05</v>
      </c>
      <c r="G264" s="100"/>
      <c r="H264" s="77">
        <v>5559.05</v>
      </c>
      <c r="I264" s="77">
        <v>5559.05</v>
      </c>
      <c r="J264" s="63"/>
      <c r="K264" s="60"/>
      <c r="L264" s="155"/>
    </row>
    <row r="265" spans="1:40" s="40" customFormat="1" ht="27" customHeight="1" outlineLevel="1" x14ac:dyDescent="0.2">
      <c r="A265" s="89" t="s">
        <v>220</v>
      </c>
      <c r="B265" s="148">
        <v>42643</v>
      </c>
      <c r="C265" s="147">
        <v>43465</v>
      </c>
      <c r="D265" s="96">
        <v>50</v>
      </c>
      <c r="E265" s="103">
        <v>45000</v>
      </c>
      <c r="F265" s="22"/>
      <c r="G265" s="103">
        <v>15533.68</v>
      </c>
      <c r="H265" s="77">
        <v>60533.68</v>
      </c>
      <c r="I265" s="77">
        <v>60533.68</v>
      </c>
      <c r="J265" s="63"/>
      <c r="K265" s="60"/>
      <c r="L265" s="155"/>
    </row>
    <row r="266" spans="1:40" s="40" customFormat="1" ht="27" customHeight="1" outlineLevel="1" x14ac:dyDescent="0.2">
      <c r="A266" s="89" t="s">
        <v>221</v>
      </c>
      <c r="B266" s="148">
        <v>42643</v>
      </c>
      <c r="C266" s="147">
        <v>43465</v>
      </c>
      <c r="D266" s="96">
        <v>50</v>
      </c>
      <c r="E266" s="22"/>
      <c r="F266" s="103">
        <v>3533.68</v>
      </c>
      <c r="G266" s="103"/>
      <c r="H266" s="77">
        <v>3533.68</v>
      </c>
      <c r="I266" s="77">
        <v>3533.68</v>
      </c>
      <c r="J266" s="63"/>
      <c r="K266" s="60"/>
      <c r="L266" s="155"/>
    </row>
    <row r="267" spans="1:40" s="7" customFormat="1" ht="27" customHeight="1" outlineLevel="1" x14ac:dyDescent="0.2">
      <c r="A267" s="89" t="s">
        <v>547</v>
      </c>
      <c r="B267" s="148">
        <v>43039</v>
      </c>
      <c r="C267" s="147">
        <v>43465</v>
      </c>
      <c r="D267" s="96">
        <v>40</v>
      </c>
      <c r="E267" s="22"/>
      <c r="F267" s="22">
        <v>5000</v>
      </c>
      <c r="G267" s="100"/>
      <c r="H267" s="87">
        <v>5000</v>
      </c>
      <c r="I267" s="87">
        <v>5000</v>
      </c>
      <c r="J267" s="63"/>
      <c r="K267" s="60"/>
      <c r="L267" s="163"/>
    </row>
    <row r="268" spans="1:40" s="40" customFormat="1" ht="27" customHeight="1" outlineLevel="1" x14ac:dyDescent="0.2">
      <c r="A268" s="89" t="s">
        <v>222</v>
      </c>
      <c r="B268" s="148">
        <v>42886</v>
      </c>
      <c r="C268" s="147">
        <v>43465</v>
      </c>
      <c r="D268" s="96">
        <v>60</v>
      </c>
      <c r="E268" s="22"/>
      <c r="F268" s="22">
        <v>10000</v>
      </c>
      <c r="G268" s="100"/>
      <c r="H268" s="87">
        <v>10000</v>
      </c>
      <c r="I268" s="87">
        <v>10000</v>
      </c>
      <c r="J268" s="63"/>
      <c r="K268" s="60"/>
      <c r="L268" s="155"/>
    </row>
    <row r="269" spans="1:40" s="14" customFormat="1" ht="12" customHeight="1" outlineLevel="1" x14ac:dyDescent="0.2">
      <c r="A269" s="89" t="s">
        <v>52</v>
      </c>
      <c r="B269" s="147">
        <v>42389</v>
      </c>
      <c r="C269" s="147">
        <v>43465</v>
      </c>
      <c r="D269" s="96">
        <v>20</v>
      </c>
      <c r="E269" s="22"/>
      <c r="F269" s="22">
        <v>13943.55</v>
      </c>
      <c r="G269" s="100"/>
      <c r="H269" s="87">
        <v>13943.55</v>
      </c>
      <c r="I269" s="87">
        <v>13943.55</v>
      </c>
      <c r="J269" s="63"/>
      <c r="K269" s="60"/>
      <c r="L269" s="162"/>
      <c r="M269" s="12"/>
      <c r="N269" s="12"/>
      <c r="O269" s="12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s="14" customFormat="1" ht="30" customHeight="1" outlineLevel="1" x14ac:dyDescent="0.2">
      <c r="A270" s="89" t="s">
        <v>223</v>
      </c>
      <c r="B270" s="148">
        <v>42947</v>
      </c>
      <c r="C270" s="147">
        <v>43251</v>
      </c>
      <c r="D270" s="96">
        <v>80</v>
      </c>
      <c r="E270" s="22"/>
      <c r="F270" s="103">
        <v>15000</v>
      </c>
      <c r="G270" s="100"/>
      <c r="H270" s="77">
        <v>15000</v>
      </c>
      <c r="I270" s="77">
        <v>15000</v>
      </c>
      <c r="J270" s="63"/>
      <c r="K270" s="60"/>
      <c r="L270" s="162"/>
      <c r="M270" s="12"/>
      <c r="N270" s="12"/>
      <c r="O270" s="12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s="14" customFormat="1" ht="30" customHeight="1" outlineLevel="1" x14ac:dyDescent="0.2">
      <c r="A271" s="89" t="s">
        <v>61</v>
      </c>
      <c r="B271" s="147">
        <v>42478</v>
      </c>
      <c r="C271" s="147">
        <v>43465</v>
      </c>
      <c r="D271" s="96">
        <v>50</v>
      </c>
      <c r="E271" s="22"/>
      <c r="F271" s="22">
        <v>46143.68</v>
      </c>
      <c r="G271" s="100"/>
      <c r="H271" s="87">
        <v>46143.68</v>
      </c>
      <c r="I271" s="87">
        <v>46143.68</v>
      </c>
      <c r="J271" s="63"/>
      <c r="K271" s="60"/>
      <c r="L271" s="162"/>
      <c r="M271" s="12"/>
      <c r="N271" s="12"/>
      <c r="O271" s="12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s="40" customFormat="1" ht="27" customHeight="1" outlineLevel="1" x14ac:dyDescent="0.2">
      <c r="A272" s="89" t="s">
        <v>336</v>
      </c>
      <c r="B272" s="148">
        <v>43069</v>
      </c>
      <c r="C272" s="147">
        <v>43465</v>
      </c>
      <c r="D272" s="96">
        <v>20</v>
      </c>
      <c r="E272" s="22"/>
      <c r="F272" s="103">
        <v>15000</v>
      </c>
      <c r="G272" s="100"/>
      <c r="H272" s="77">
        <v>15000</v>
      </c>
      <c r="I272" s="77">
        <v>15000</v>
      </c>
      <c r="J272" s="63"/>
      <c r="K272" s="60"/>
      <c r="L272" s="155"/>
    </row>
    <row r="273" spans="1:40" s="14" customFormat="1" ht="30" customHeight="1" outlineLevel="1" x14ac:dyDescent="0.2">
      <c r="A273" s="89" t="s">
        <v>337</v>
      </c>
      <c r="B273" s="148">
        <v>43069</v>
      </c>
      <c r="C273" s="147">
        <v>43465</v>
      </c>
      <c r="D273" s="96">
        <v>20</v>
      </c>
      <c r="E273" s="22"/>
      <c r="F273" s="103">
        <v>15000</v>
      </c>
      <c r="G273" s="100"/>
      <c r="H273" s="77">
        <v>15000</v>
      </c>
      <c r="I273" s="77">
        <v>15000</v>
      </c>
      <c r="J273" s="63"/>
      <c r="K273" s="60"/>
      <c r="L273" s="162"/>
      <c r="M273" s="12"/>
      <c r="N273" s="12"/>
      <c r="O273" s="12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s="14" customFormat="1" ht="30" customHeight="1" outlineLevel="1" x14ac:dyDescent="0.2">
      <c r="A274" s="89" t="s">
        <v>62</v>
      </c>
      <c r="B274" s="147">
        <v>42548</v>
      </c>
      <c r="C274" s="147">
        <v>43465</v>
      </c>
      <c r="D274" s="96">
        <v>20</v>
      </c>
      <c r="E274" s="22"/>
      <c r="F274" s="22">
        <v>19502.580000000002</v>
      </c>
      <c r="G274" s="100"/>
      <c r="H274" s="87">
        <v>19502.580000000002</v>
      </c>
      <c r="I274" s="87">
        <v>19502.580000000002</v>
      </c>
      <c r="J274" s="63"/>
      <c r="K274" s="60"/>
      <c r="L274" s="162"/>
      <c r="M274" s="12"/>
      <c r="N274" s="12"/>
      <c r="O274" s="12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s="14" customFormat="1" ht="15.75" customHeight="1" outlineLevel="1" x14ac:dyDescent="0.2">
      <c r="A275" s="89" t="s">
        <v>53</v>
      </c>
      <c r="B275" s="148">
        <v>42913</v>
      </c>
      <c r="C275" s="147">
        <v>43465</v>
      </c>
      <c r="D275" s="96">
        <v>55</v>
      </c>
      <c r="E275" s="22"/>
      <c r="F275" s="22">
        <v>23076.61</v>
      </c>
      <c r="G275" s="22">
        <v>30540</v>
      </c>
      <c r="H275" s="87">
        <v>53616.61</v>
      </c>
      <c r="I275" s="87">
        <v>53616.61</v>
      </c>
      <c r="J275" s="63"/>
      <c r="K275" s="60"/>
      <c r="L275" s="162"/>
      <c r="M275" s="12"/>
      <c r="N275" s="12"/>
      <c r="O275" s="12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s="7" customFormat="1" ht="25.5" customHeight="1" outlineLevel="1" x14ac:dyDescent="0.2">
      <c r="A276" s="89" t="s">
        <v>54</v>
      </c>
      <c r="B276" s="148">
        <v>42913</v>
      </c>
      <c r="C276" s="147">
        <v>43465</v>
      </c>
      <c r="D276" s="96">
        <v>55</v>
      </c>
      <c r="E276" s="22"/>
      <c r="F276" s="22">
        <v>23076.61</v>
      </c>
      <c r="G276" s="22">
        <v>30540</v>
      </c>
      <c r="H276" s="87">
        <v>53616.61</v>
      </c>
      <c r="I276" s="87">
        <v>53616.61</v>
      </c>
      <c r="J276" s="63"/>
      <c r="K276" s="60"/>
      <c r="L276" s="163"/>
    </row>
    <row r="277" spans="1:40" s="40" customFormat="1" ht="16.5" customHeight="1" outlineLevel="1" x14ac:dyDescent="0.2">
      <c r="A277" s="89" t="s">
        <v>224</v>
      </c>
      <c r="B277" s="148">
        <v>42794</v>
      </c>
      <c r="C277" s="147">
        <v>43220</v>
      </c>
      <c r="D277" s="96">
        <v>90</v>
      </c>
      <c r="E277" s="22"/>
      <c r="F277" s="103">
        <v>3468.63</v>
      </c>
      <c r="G277" s="100"/>
      <c r="H277" s="77">
        <v>3468.63</v>
      </c>
      <c r="I277" s="77">
        <v>3468.63</v>
      </c>
      <c r="J277" s="63"/>
      <c r="K277" s="60"/>
      <c r="L277" s="155"/>
    </row>
    <row r="278" spans="1:40" s="40" customFormat="1" ht="26.25" customHeight="1" outlineLevel="1" x14ac:dyDescent="0.2">
      <c r="A278" s="89" t="s">
        <v>225</v>
      </c>
      <c r="B278" s="148">
        <v>42797</v>
      </c>
      <c r="C278" s="147">
        <v>43465</v>
      </c>
      <c r="D278" s="96">
        <v>30</v>
      </c>
      <c r="E278" s="22">
        <v>73471</v>
      </c>
      <c r="F278" s="22">
        <v>16531.75</v>
      </c>
      <c r="G278" s="22">
        <v>30540</v>
      </c>
      <c r="H278" s="77">
        <v>120542.75</v>
      </c>
      <c r="I278" s="77">
        <v>120542.75</v>
      </c>
      <c r="J278" s="63"/>
      <c r="K278" s="60"/>
      <c r="L278" s="155"/>
    </row>
    <row r="279" spans="1:40" s="14" customFormat="1" ht="18" customHeight="1" outlineLevel="1" x14ac:dyDescent="0.2">
      <c r="A279" s="89" t="s">
        <v>226</v>
      </c>
      <c r="B279" s="148">
        <v>42704</v>
      </c>
      <c r="C279" s="147">
        <v>43465</v>
      </c>
      <c r="D279" s="96">
        <v>50</v>
      </c>
      <c r="E279" s="103">
        <v>37696.49</v>
      </c>
      <c r="F279" s="22"/>
      <c r="G279" s="100"/>
      <c r="H279" s="77">
        <v>37696.49</v>
      </c>
      <c r="I279" s="77">
        <v>37696.49</v>
      </c>
      <c r="J279" s="63"/>
      <c r="K279" s="60"/>
      <c r="L279" s="162"/>
      <c r="M279" s="12"/>
      <c r="N279" s="12"/>
      <c r="O279" s="12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s="14" customFormat="1" ht="12" customHeight="1" outlineLevel="1" x14ac:dyDescent="0.2">
      <c r="A280" s="89" t="s">
        <v>548</v>
      </c>
      <c r="B280" s="148">
        <v>43131</v>
      </c>
      <c r="C280" s="147">
        <v>43465</v>
      </c>
      <c r="D280" s="96">
        <v>40</v>
      </c>
      <c r="E280" s="22"/>
      <c r="F280" s="103">
        <v>5604.42</v>
      </c>
      <c r="G280" s="100"/>
      <c r="H280" s="77">
        <v>5604.42</v>
      </c>
      <c r="I280" s="77">
        <v>5604.42</v>
      </c>
      <c r="J280" s="63"/>
      <c r="K280" s="60"/>
      <c r="L280" s="162"/>
      <c r="M280" s="12"/>
      <c r="N280" s="12"/>
      <c r="O280" s="12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s="40" customFormat="1" ht="27" customHeight="1" outlineLevel="1" x14ac:dyDescent="0.2">
      <c r="A281" s="89" t="s">
        <v>227</v>
      </c>
      <c r="B281" s="148">
        <v>42655</v>
      </c>
      <c r="C281" s="147">
        <v>43343</v>
      </c>
      <c r="D281" s="96">
        <v>65</v>
      </c>
      <c r="E281" s="22">
        <v>8000</v>
      </c>
      <c r="F281" s="22">
        <v>22468.959999999999</v>
      </c>
      <c r="G281" s="100"/>
      <c r="H281" s="77">
        <v>30468.959999999999</v>
      </c>
      <c r="I281" s="77">
        <v>30468.959999999999</v>
      </c>
      <c r="J281" s="63"/>
      <c r="K281" s="60"/>
      <c r="L281" s="155"/>
    </row>
    <row r="282" spans="1:40" s="40" customFormat="1" ht="27" customHeight="1" outlineLevel="1" x14ac:dyDescent="0.2">
      <c r="A282" s="89" t="s">
        <v>549</v>
      </c>
      <c r="B282" s="147">
        <v>42478</v>
      </c>
      <c r="C282" s="147">
        <v>43465</v>
      </c>
      <c r="D282" s="96">
        <v>40</v>
      </c>
      <c r="E282" s="22"/>
      <c r="F282" s="22">
        <v>35119.919999999998</v>
      </c>
      <c r="G282" s="100"/>
      <c r="H282" s="87">
        <v>35119.919999999998</v>
      </c>
      <c r="I282" s="87">
        <v>35119.919999999998</v>
      </c>
      <c r="J282" s="63"/>
      <c r="K282" s="60"/>
      <c r="L282" s="155"/>
    </row>
    <row r="283" spans="1:40" s="40" customFormat="1" ht="27" customHeight="1" outlineLevel="1" x14ac:dyDescent="0.2">
      <c r="A283" s="89" t="s">
        <v>550</v>
      </c>
      <c r="B283" s="148">
        <v>43039</v>
      </c>
      <c r="C283" s="147">
        <v>43465</v>
      </c>
      <c r="D283" s="96">
        <v>20</v>
      </c>
      <c r="E283" s="22"/>
      <c r="F283" s="103">
        <v>48000</v>
      </c>
      <c r="G283" s="100"/>
      <c r="H283" s="77">
        <v>48000</v>
      </c>
      <c r="I283" s="77">
        <v>48000</v>
      </c>
      <c r="J283" s="63"/>
      <c r="K283" s="60"/>
      <c r="L283" s="155"/>
    </row>
    <row r="284" spans="1:40" s="40" customFormat="1" ht="23.25" customHeight="1" outlineLevel="1" x14ac:dyDescent="0.2">
      <c r="A284" s="89" t="s">
        <v>228</v>
      </c>
      <c r="B284" s="148">
        <v>42613</v>
      </c>
      <c r="C284" s="147">
        <v>43343</v>
      </c>
      <c r="D284" s="96">
        <v>90</v>
      </c>
      <c r="E284" s="22"/>
      <c r="F284" s="22"/>
      <c r="G284" s="103" t="s">
        <v>551</v>
      </c>
      <c r="H284" s="77">
        <v>36506.99</v>
      </c>
      <c r="I284" s="77">
        <v>36506.99</v>
      </c>
      <c r="J284" s="63"/>
      <c r="K284" s="60"/>
      <c r="L284" s="155"/>
    </row>
    <row r="285" spans="1:40" s="7" customFormat="1" ht="17.25" customHeight="1" outlineLevel="1" x14ac:dyDescent="0.2">
      <c r="A285" s="89" t="s">
        <v>229</v>
      </c>
      <c r="B285" s="148">
        <v>42885</v>
      </c>
      <c r="C285" s="147">
        <v>43465</v>
      </c>
      <c r="D285" s="96">
        <v>20</v>
      </c>
      <c r="E285" s="22"/>
      <c r="F285" s="103">
        <v>23000</v>
      </c>
      <c r="G285" s="103"/>
      <c r="H285" s="77">
        <v>23000</v>
      </c>
      <c r="I285" s="77">
        <v>23000</v>
      </c>
      <c r="J285" s="63"/>
      <c r="K285" s="60"/>
      <c r="L285" s="155"/>
    </row>
    <row r="286" spans="1:40" s="17" customFormat="1" ht="17.25" customHeight="1" outlineLevel="1" x14ac:dyDescent="0.2">
      <c r="A286" s="89" t="s">
        <v>230</v>
      </c>
      <c r="B286" s="148">
        <v>43100</v>
      </c>
      <c r="C286" s="147">
        <v>43251</v>
      </c>
      <c r="D286" s="96">
        <v>60</v>
      </c>
      <c r="E286" s="103">
        <v>5810.29</v>
      </c>
      <c r="F286" s="22"/>
      <c r="G286" s="103"/>
      <c r="H286" s="77">
        <v>5810.29</v>
      </c>
      <c r="I286" s="77">
        <v>5810.29</v>
      </c>
      <c r="J286" s="63"/>
      <c r="K286" s="60"/>
      <c r="L286" s="166"/>
    </row>
    <row r="287" spans="1:40" s="40" customFormat="1" ht="27.75" customHeight="1" outlineLevel="1" x14ac:dyDescent="0.2">
      <c r="A287" s="89" t="s">
        <v>231</v>
      </c>
      <c r="B287" s="148">
        <v>43039</v>
      </c>
      <c r="C287" s="147">
        <v>43404</v>
      </c>
      <c r="D287" s="96">
        <v>40</v>
      </c>
      <c r="E287" s="103">
        <v>16361.21</v>
      </c>
      <c r="F287" s="22"/>
      <c r="G287" s="103"/>
      <c r="H287" s="77">
        <v>16361.21</v>
      </c>
      <c r="I287" s="77">
        <v>16361.21</v>
      </c>
      <c r="J287" s="63"/>
      <c r="K287" s="60"/>
      <c r="L287" s="155"/>
    </row>
    <row r="288" spans="1:40" s="40" customFormat="1" ht="24" outlineLevel="1" x14ac:dyDescent="0.2">
      <c r="A288" s="89" t="s">
        <v>232</v>
      </c>
      <c r="B288" s="148">
        <v>42766</v>
      </c>
      <c r="C288" s="147">
        <v>43220</v>
      </c>
      <c r="D288" s="96">
        <v>90</v>
      </c>
      <c r="E288" s="103">
        <v>4110.22</v>
      </c>
      <c r="F288" s="22"/>
      <c r="G288" s="103"/>
      <c r="H288" s="77">
        <v>4110.22</v>
      </c>
      <c r="I288" s="77">
        <v>4110.22</v>
      </c>
      <c r="J288" s="63"/>
      <c r="K288" s="60"/>
      <c r="L288" s="155"/>
    </row>
    <row r="289" spans="1:12" s="40" customFormat="1" ht="24" outlineLevel="1" x14ac:dyDescent="0.2">
      <c r="A289" s="89" t="s">
        <v>233</v>
      </c>
      <c r="B289" s="148">
        <v>42886</v>
      </c>
      <c r="C289" s="147">
        <v>43465</v>
      </c>
      <c r="D289" s="96">
        <v>20</v>
      </c>
      <c r="E289" s="22"/>
      <c r="F289" s="103">
        <v>34388.74</v>
      </c>
      <c r="G289" s="103"/>
      <c r="H289" s="77">
        <v>34388.74</v>
      </c>
      <c r="I289" s="77">
        <v>34388.74</v>
      </c>
      <c r="J289" s="63"/>
      <c r="K289" s="60"/>
      <c r="L289" s="155"/>
    </row>
    <row r="290" spans="1:12" s="40" customFormat="1" x14ac:dyDescent="0.2">
      <c r="A290" s="91"/>
      <c r="B290" s="147"/>
      <c r="C290" s="147"/>
      <c r="D290" s="96"/>
      <c r="E290" s="100">
        <f>SUM(E199:E289)</f>
        <v>432449.20999999996</v>
      </c>
      <c r="F290" s="100">
        <f>SUM(F199:F289)</f>
        <v>1310193.1599999999</v>
      </c>
      <c r="G290" s="100">
        <v>144114.72</v>
      </c>
      <c r="H290" s="87">
        <f>SUM(H199:H289)</f>
        <v>1886757.0899999999</v>
      </c>
      <c r="I290" s="87">
        <f>SUM(I199:I289)</f>
        <v>1886757.0899999999</v>
      </c>
      <c r="J290" s="127"/>
      <c r="K290" s="61"/>
      <c r="L290" s="155"/>
    </row>
    <row r="291" spans="1:12" s="40" customFormat="1" ht="24" x14ac:dyDescent="0.2">
      <c r="A291" s="37" t="s">
        <v>552</v>
      </c>
      <c r="B291" s="148"/>
      <c r="C291" s="147"/>
      <c r="D291" s="96"/>
      <c r="E291" s="22"/>
      <c r="F291" s="22"/>
      <c r="G291" s="22"/>
      <c r="H291" s="87"/>
      <c r="I291" s="77"/>
      <c r="J291" s="121"/>
      <c r="K291" s="41"/>
      <c r="L291" s="155"/>
    </row>
    <row r="292" spans="1:12" s="40" customFormat="1" ht="24" outlineLevel="1" x14ac:dyDescent="0.2">
      <c r="A292" s="35" t="s">
        <v>342</v>
      </c>
      <c r="B292" s="148">
        <v>43070</v>
      </c>
      <c r="C292" s="147">
        <v>43435</v>
      </c>
      <c r="D292" s="96">
        <v>45</v>
      </c>
      <c r="E292" s="100"/>
      <c r="F292" s="100">
        <v>19718.759999999998</v>
      </c>
      <c r="G292" s="22"/>
      <c r="H292" s="87">
        <f t="shared" ref="H292:H403" si="42">F292+E292+G292</f>
        <v>19718.759999999998</v>
      </c>
      <c r="I292" s="77">
        <f t="shared" ref="I292:I403" si="43">H292</f>
        <v>19718.759999999998</v>
      </c>
      <c r="J292" s="128"/>
      <c r="K292" s="108"/>
      <c r="L292" s="155"/>
    </row>
    <row r="293" spans="1:12" s="40" customFormat="1" ht="24" outlineLevel="1" x14ac:dyDescent="0.2">
      <c r="A293" s="35" t="s">
        <v>343</v>
      </c>
      <c r="B293" s="148">
        <v>43009</v>
      </c>
      <c r="C293" s="147">
        <v>43374</v>
      </c>
      <c r="D293" s="96">
        <v>20</v>
      </c>
      <c r="E293" s="100">
        <v>8000</v>
      </c>
      <c r="F293" s="100"/>
      <c r="G293" s="22"/>
      <c r="H293" s="87">
        <f t="shared" si="42"/>
        <v>8000</v>
      </c>
      <c r="I293" s="77">
        <f t="shared" si="43"/>
        <v>8000</v>
      </c>
      <c r="J293" s="128"/>
      <c r="K293" s="108"/>
      <c r="L293" s="155"/>
    </row>
    <row r="294" spans="1:12" s="40" customFormat="1" ht="24" outlineLevel="1" x14ac:dyDescent="0.2">
      <c r="A294" s="35" t="s">
        <v>344</v>
      </c>
      <c r="B294" s="148">
        <v>43080</v>
      </c>
      <c r="C294" s="147">
        <v>43465</v>
      </c>
      <c r="D294" s="96">
        <v>45</v>
      </c>
      <c r="E294" s="100">
        <v>6200</v>
      </c>
      <c r="F294" s="100">
        <v>5852.01</v>
      </c>
      <c r="G294" s="22"/>
      <c r="H294" s="87">
        <f t="shared" si="42"/>
        <v>12052.01</v>
      </c>
      <c r="I294" s="77">
        <f t="shared" si="43"/>
        <v>12052.01</v>
      </c>
      <c r="J294" s="128"/>
      <c r="K294" s="108"/>
      <c r="L294" s="155"/>
    </row>
    <row r="295" spans="1:12" s="40" customFormat="1" outlineLevel="1" x14ac:dyDescent="0.2">
      <c r="A295" s="35" t="s">
        <v>242</v>
      </c>
      <c r="B295" s="148">
        <v>42745</v>
      </c>
      <c r="C295" s="147">
        <v>43403</v>
      </c>
      <c r="D295" s="96">
        <v>20</v>
      </c>
      <c r="E295" s="100">
        <v>92418.07</v>
      </c>
      <c r="F295" s="100"/>
      <c r="G295" s="22"/>
      <c r="H295" s="87">
        <f t="shared" si="42"/>
        <v>92418.07</v>
      </c>
      <c r="I295" s="77">
        <f t="shared" si="43"/>
        <v>92418.07</v>
      </c>
      <c r="J295" s="128"/>
      <c r="K295" s="108"/>
      <c r="L295" s="155"/>
    </row>
    <row r="296" spans="1:12" s="40" customFormat="1" outlineLevel="1" x14ac:dyDescent="0.2">
      <c r="A296" s="35" t="s">
        <v>243</v>
      </c>
      <c r="B296" s="148">
        <v>42745</v>
      </c>
      <c r="C296" s="147">
        <v>43403</v>
      </c>
      <c r="D296" s="96">
        <v>45</v>
      </c>
      <c r="E296" s="100"/>
      <c r="F296" s="100">
        <v>4713.8100000000004</v>
      </c>
      <c r="G296" s="22"/>
      <c r="H296" s="87">
        <f t="shared" si="42"/>
        <v>4713.8100000000004</v>
      </c>
      <c r="I296" s="77">
        <f t="shared" si="43"/>
        <v>4713.8100000000004</v>
      </c>
      <c r="J296" s="128"/>
      <c r="K296" s="108"/>
      <c r="L296" s="155"/>
    </row>
    <row r="297" spans="1:12" s="40" customFormat="1" outlineLevel="1" x14ac:dyDescent="0.2">
      <c r="A297" s="35" t="s">
        <v>272</v>
      </c>
      <c r="B297" s="148">
        <v>42745</v>
      </c>
      <c r="C297" s="147">
        <v>43403</v>
      </c>
      <c r="D297" s="96">
        <v>20</v>
      </c>
      <c r="E297" s="100">
        <v>152445.92000000001</v>
      </c>
      <c r="F297" s="100">
        <v>0.02</v>
      </c>
      <c r="G297" s="22"/>
      <c r="H297" s="87">
        <f t="shared" si="42"/>
        <v>152445.94</v>
      </c>
      <c r="I297" s="77">
        <f t="shared" si="43"/>
        <v>152445.94</v>
      </c>
      <c r="J297" s="128"/>
      <c r="K297" s="108"/>
      <c r="L297" s="155"/>
    </row>
    <row r="298" spans="1:12" s="40" customFormat="1" outlineLevel="1" x14ac:dyDescent="0.2">
      <c r="A298" s="35" t="s">
        <v>553</v>
      </c>
      <c r="B298" s="148">
        <v>43190</v>
      </c>
      <c r="C298" s="147">
        <v>43434</v>
      </c>
      <c r="D298" s="96">
        <v>45</v>
      </c>
      <c r="E298" s="100"/>
      <c r="F298" s="100">
        <v>3165.1</v>
      </c>
      <c r="G298" s="22"/>
      <c r="H298" s="87">
        <f t="shared" si="42"/>
        <v>3165.1</v>
      </c>
      <c r="I298" s="77">
        <f t="shared" si="43"/>
        <v>3165.1</v>
      </c>
      <c r="J298" s="128"/>
      <c r="K298" s="108"/>
      <c r="L298" s="155"/>
    </row>
    <row r="299" spans="1:12" s="40" customFormat="1" ht="24" outlineLevel="1" x14ac:dyDescent="0.2">
      <c r="A299" s="35" t="s">
        <v>345</v>
      </c>
      <c r="B299" s="148">
        <v>43070</v>
      </c>
      <c r="C299" s="147">
        <v>43435</v>
      </c>
      <c r="D299" s="96">
        <v>45</v>
      </c>
      <c r="E299" s="100"/>
      <c r="F299" s="100">
        <v>6012.59</v>
      </c>
      <c r="G299" s="22"/>
      <c r="H299" s="87">
        <f t="shared" si="42"/>
        <v>6012.59</v>
      </c>
      <c r="I299" s="77">
        <f t="shared" si="43"/>
        <v>6012.59</v>
      </c>
      <c r="J299" s="128"/>
      <c r="K299" s="108"/>
      <c r="L299" s="155"/>
    </row>
    <row r="300" spans="1:12" s="40" customFormat="1" outlineLevel="1" x14ac:dyDescent="0.2">
      <c r="A300" s="35" t="s">
        <v>346</v>
      </c>
      <c r="B300" s="148">
        <v>43070</v>
      </c>
      <c r="C300" s="147">
        <v>43435</v>
      </c>
      <c r="D300" s="96">
        <v>45</v>
      </c>
      <c r="E300" s="100"/>
      <c r="F300" s="100">
        <v>3564.21</v>
      </c>
      <c r="G300" s="22"/>
      <c r="H300" s="87">
        <f t="shared" si="42"/>
        <v>3564.21</v>
      </c>
      <c r="I300" s="77">
        <f t="shared" si="43"/>
        <v>3564.21</v>
      </c>
      <c r="J300" s="128"/>
      <c r="K300" s="108"/>
      <c r="L300" s="155"/>
    </row>
    <row r="301" spans="1:12" s="40" customFormat="1" outlineLevel="1" x14ac:dyDescent="0.2">
      <c r="A301" s="35" t="s">
        <v>554</v>
      </c>
      <c r="B301" s="148">
        <v>43131</v>
      </c>
      <c r="C301" s="147">
        <v>43404</v>
      </c>
      <c r="D301" s="96">
        <v>20</v>
      </c>
      <c r="E301" s="100">
        <v>6600</v>
      </c>
      <c r="F301" s="100"/>
      <c r="G301" s="22"/>
      <c r="H301" s="87">
        <f t="shared" si="42"/>
        <v>6600</v>
      </c>
      <c r="I301" s="77">
        <f t="shared" si="43"/>
        <v>6600</v>
      </c>
      <c r="J301" s="128"/>
      <c r="K301" s="108"/>
      <c r="L301" s="155"/>
    </row>
    <row r="302" spans="1:12" s="40" customFormat="1" ht="24" outlineLevel="1" x14ac:dyDescent="0.2">
      <c r="A302" s="35" t="s">
        <v>555</v>
      </c>
      <c r="B302" s="148">
        <v>43131</v>
      </c>
      <c r="C302" s="147">
        <v>43404</v>
      </c>
      <c r="D302" s="96">
        <v>45</v>
      </c>
      <c r="E302" s="100"/>
      <c r="F302" s="100">
        <v>19394.22</v>
      </c>
      <c r="G302" s="22"/>
      <c r="H302" s="87">
        <f t="shared" si="42"/>
        <v>19394.22</v>
      </c>
      <c r="I302" s="77">
        <f t="shared" si="43"/>
        <v>19394.22</v>
      </c>
      <c r="J302" s="128"/>
      <c r="K302" s="108"/>
      <c r="L302" s="155"/>
    </row>
    <row r="303" spans="1:12" s="40" customFormat="1" outlineLevel="1" x14ac:dyDescent="0.2">
      <c r="A303" s="35" t="s">
        <v>556</v>
      </c>
      <c r="B303" s="148">
        <v>43131</v>
      </c>
      <c r="C303" s="147">
        <v>43404</v>
      </c>
      <c r="D303" s="96">
        <v>45</v>
      </c>
      <c r="E303" s="100"/>
      <c r="F303" s="100">
        <v>4893.34</v>
      </c>
      <c r="G303" s="22"/>
      <c r="H303" s="87">
        <f t="shared" si="42"/>
        <v>4893.34</v>
      </c>
      <c r="I303" s="77">
        <f t="shared" si="43"/>
        <v>4893.34</v>
      </c>
      <c r="J303" s="128"/>
      <c r="K303" s="108"/>
      <c r="L303" s="155"/>
    </row>
    <row r="304" spans="1:12" s="40" customFormat="1" ht="24" outlineLevel="1" x14ac:dyDescent="0.2">
      <c r="A304" s="35" t="s">
        <v>557</v>
      </c>
      <c r="B304" s="148">
        <v>43131</v>
      </c>
      <c r="C304" s="148">
        <v>43496</v>
      </c>
      <c r="D304" s="96">
        <v>20</v>
      </c>
      <c r="E304" s="100">
        <v>6500</v>
      </c>
      <c r="F304" s="100"/>
      <c r="G304" s="22"/>
      <c r="H304" s="87">
        <f t="shared" si="42"/>
        <v>6500</v>
      </c>
      <c r="I304" s="77">
        <f t="shared" si="43"/>
        <v>6500</v>
      </c>
      <c r="J304" s="128"/>
      <c r="K304" s="108"/>
      <c r="L304" s="155"/>
    </row>
    <row r="305" spans="1:12" s="40" customFormat="1" outlineLevel="1" x14ac:dyDescent="0.2">
      <c r="A305" s="35" t="s">
        <v>558</v>
      </c>
      <c r="B305" s="148">
        <v>43131</v>
      </c>
      <c r="C305" s="148" t="s">
        <v>714</v>
      </c>
      <c r="D305" s="96">
        <v>45</v>
      </c>
      <c r="E305" s="100"/>
      <c r="F305" s="100">
        <v>4084.54</v>
      </c>
      <c r="G305" s="22"/>
      <c r="H305" s="87">
        <f t="shared" si="42"/>
        <v>4084.54</v>
      </c>
      <c r="I305" s="77">
        <f t="shared" si="43"/>
        <v>4084.54</v>
      </c>
      <c r="J305" s="128"/>
      <c r="K305" s="108"/>
      <c r="L305" s="155"/>
    </row>
    <row r="306" spans="1:12" s="40" customFormat="1" outlineLevel="1" x14ac:dyDescent="0.2">
      <c r="A306" s="35" t="s">
        <v>559</v>
      </c>
      <c r="B306" s="148">
        <v>43131</v>
      </c>
      <c r="C306" s="147">
        <v>43404</v>
      </c>
      <c r="D306" s="96">
        <v>45</v>
      </c>
      <c r="E306" s="100"/>
      <c r="F306" s="100">
        <v>3721.37</v>
      </c>
      <c r="G306" s="22"/>
      <c r="H306" s="87">
        <f t="shared" si="42"/>
        <v>3721.37</v>
      </c>
      <c r="I306" s="77">
        <f t="shared" si="43"/>
        <v>3721.37</v>
      </c>
      <c r="J306" s="128"/>
      <c r="K306" s="108"/>
      <c r="L306" s="155"/>
    </row>
    <row r="307" spans="1:12" s="40" customFormat="1" outlineLevel="1" x14ac:dyDescent="0.2">
      <c r="A307" s="35" t="s">
        <v>347</v>
      </c>
      <c r="B307" s="148">
        <v>43069</v>
      </c>
      <c r="C307" s="148">
        <v>43434</v>
      </c>
      <c r="D307" s="96">
        <v>45</v>
      </c>
      <c r="E307" s="100"/>
      <c r="F307" s="100">
        <v>5229.2</v>
      </c>
      <c r="G307" s="22"/>
      <c r="H307" s="87">
        <f t="shared" si="42"/>
        <v>5229.2</v>
      </c>
      <c r="I307" s="77">
        <f t="shared" si="43"/>
        <v>5229.2</v>
      </c>
      <c r="J307" s="128"/>
      <c r="K307" s="108"/>
      <c r="L307" s="155"/>
    </row>
    <row r="308" spans="1:12" s="40" customFormat="1" ht="24" outlineLevel="1" x14ac:dyDescent="0.2">
      <c r="A308" s="35" t="s">
        <v>560</v>
      </c>
      <c r="B308" s="148">
        <v>43190</v>
      </c>
      <c r="C308" s="147">
        <v>43250</v>
      </c>
      <c r="D308" s="96">
        <v>95</v>
      </c>
      <c r="E308" s="100"/>
      <c r="F308" s="100">
        <v>6099.99</v>
      </c>
      <c r="G308" s="22"/>
      <c r="H308" s="87">
        <f t="shared" si="42"/>
        <v>6099.99</v>
      </c>
      <c r="I308" s="77">
        <f t="shared" si="43"/>
        <v>6099.99</v>
      </c>
      <c r="J308" s="128"/>
      <c r="K308" s="108"/>
      <c r="L308" s="155"/>
    </row>
    <row r="309" spans="1:12" s="40" customFormat="1" outlineLevel="1" x14ac:dyDescent="0.2">
      <c r="A309" s="35" t="s">
        <v>561</v>
      </c>
      <c r="B309" s="148">
        <v>43131</v>
      </c>
      <c r="C309" s="147">
        <v>43404</v>
      </c>
      <c r="D309" s="96">
        <v>45</v>
      </c>
      <c r="E309" s="100">
        <v>7200</v>
      </c>
      <c r="F309" s="100">
        <v>6532.15</v>
      </c>
      <c r="G309" s="22"/>
      <c r="H309" s="87">
        <f t="shared" si="42"/>
        <v>13732.15</v>
      </c>
      <c r="I309" s="77">
        <f t="shared" si="43"/>
        <v>13732.15</v>
      </c>
      <c r="J309" s="128"/>
      <c r="K309" s="108"/>
      <c r="L309" s="155"/>
    </row>
    <row r="310" spans="1:12" s="40" customFormat="1" outlineLevel="1" x14ac:dyDescent="0.2">
      <c r="A310" s="35" t="s">
        <v>348</v>
      </c>
      <c r="B310" s="148">
        <v>43096</v>
      </c>
      <c r="C310" s="147">
        <v>43461</v>
      </c>
      <c r="D310" s="96">
        <v>20</v>
      </c>
      <c r="E310" s="100">
        <v>6500</v>
      </c>
      <c r="F310" s="100"/>
      <c r="G310" s="22"/>
      <c r="H310" s="87">
        <f t="shared" si="42"/>
        <v>6500</v>
      </c>
      <c r="I310" s="77">
        <f t="shared" si="43"/>
        <v>6500</v>
      </c>
      <c r="J310" s="128"/>
      <c r="K310" s="108"/>
      <c r="L310" s="155"/>
    </row>
    <row r="311" spans="1:12" s="40" customFormat="1" outlineLevel="1" x14ac:dyDescent="0.2">
      <c r="A311" s="35" t="s">
        <v>349</v>
      </c>
      <c r="B311" s="148">
        <v>43070</v>
      </c>
      <c r="C311" s="147">
        <v>43435</v>
      </c>
      <c r="D311" s="96">
        <v>45</v>
      </c>
      <c r="E311" s="100"/>
      <c r="F311" s="100">
        <v>14781.55</v>
      </c>
      <c r="G311" s="22"/>
      <c r="H311" s="87">
        <f t="shared" si="42"/>
        <v>14781.55</v>
      </c>
      <c r="I311" s="77">
        <f t="shared" si="43"/>
        <v>14781.55</v>
      </c>
      <c r="J311" s="128"/>
      <c r="K311" s="108"/>
      <c r="L311" s="155"/>
    </row>
    <row r="312" spans="1:12" s="40" customFormat="1" ht="24" outlineLevel="1" x14ac:dyDescent="0.2">
      <c r="A312" s="35" t="s">
        <v>562</v>
      </c>
      <c r="B312" s="148">
        <v>43131</v>
      </c>
      <c r="C312" s="147">
        <v>43404</v>
      </c>
      <c r="D312" s="96">
        <v>45</v>
      </c>
      <c r="E312" s="100"/>
      <c r="F312" s="100">
        <v>4857.12</v>
      </c>
      <c r="G312" s="22"/>
      <c r="H312" s="87">
        <f t="shared" si="42"/>
        <v>4857.12</v>
      </c>
      <c r="I312" s="77">
        <f t="shared" si="43"/>
        <v>4857.12</v>
      </c>
      <c r="J312" s="128"/>
      <c r="K312" s="108"/>
      <c r="L312" s="155"/>
    </row>
    <row r="313" spans="1:12" s="40" customFormat="1" outlineLevel="1" x14ac:dyDescent="0.2">
      <c r="A313" s="35" t="s">
        <v>350</v>
      </c>
      <c r="B313" s="148">
        <v>43070</v>
      </c>
      <c r="C313" s="147">
        <v>43435</v>
      </c>
      <c r="D313" s="96">
        <v>45</v>
      </c>
      <c r="E313" s="100">
        <v>6400</v>
      </c>
      <c r="F313" s="100">
        <v>8047.11</v>
      </c>
      <c r="G313" s="22"/>
      <c r="H313" s="87">
        <f t="shared" si="42"/>
        <v>14447.11</v>
      </c>
      <c r="I313" s="77">
        <f t="shared" si="43"/>
        <v>14447.11</v>
      </c>
      <c r="J313" s="128"/>
      <c r="K313" s="108"/>
      <c r="L313" s="155"/>
    </row>
    <row r="314" spans="1:12" s="40" customFormat="1" ht="24" outlineLevel="1" x14ac:dyDescent="0.2">
      <c r="A314" s="35" t="s">
        <v>234</v>
      </c>
      <c r="B314" s="148">
        <v>42675</v>
      </c>
      <c r="C314" s="147">
        <v>43374</v>
      </c>
      <c r="D314" s="96">
        <v>45</v>
      </c>
      <c r="E314" s="100">
        <v>15000</v>
      </c>
      <c r="F314" s="100">
        <v>8269.84</v>
      </c>
      <c r="G314" s="22"/>
      <c r="H314" s="87">
        <f t="shared" si="42"/>
        <v>23269.84</v>
      </c>
      <c r="I314" s="77">
        <f t="shared" si="43"/>
        <v>23269.84</v>
      </c>
      <c r="J314" s="128"/>
      <c r="K314" s="108"/>
      <c r="L314" s="155"/>
    </row>
    <row r="315" spans="1:12" s="40" customFormat="1" ht="24" outlineLevel="1" x14ac:dyDescent="0.2">
      <c r="A315" s="35" t="s">
        <v>351</v>
      </c>
      <c r="B315" s="148">
        <v>43069</v>
      </c>
      <c r="C315" s="147">
        <v>43434</v>
      </c>
      <c r="D315" s="96">
        <v>20</v>
      </c>
      <c r="E315" s="100">
        <v>35000</v>
      </c>
      <c r="F315" s="100"/>
      <c r="G315" s="22"/>
      <c r="H315" s="87">
        <f t="shared" si="42"/>
        <v>35000</v>
      </c>
      <c r="I315" s="77">
        <f t="shared" si="43"/>
        <v>35000</v>
      </c>
      <c r="J315" s="128"/>
      <c r="K315" s="108"/>
      <c r="L315" s="155"/>
    </row>
    <row r="316" spans="1:12" s="40" customFormat="1" ht="24" outlineLevel="1" x14ac:dyDescent="0.2">
      <c r="A316" s="35" t="s">
        <v>563</v>
      </c>
      <c r="B316" s="148">
        <v>43190</v>
      </c>
      <c r="C316" s="147">
        <v>43434</v>
      </c>
      <c r="D316" s="96">
        <v>45</v>
      </c>
      <c r="E316" s="100"/>
      <c r="F316" s="100">
        <v>4085.25</v>
      </c>
      <c r="G316" s="22"/>
      <c r="H316" s="87">
        <f t="shared" si="42"/>
        <v>4085.25</v>
      </c>
      <c r="I316" s="77">
        <f t="shared" si="43"/>
        <v>4085.25</v>
      </c>
      <c r="J316" s="128"/>
      <c r="K316" s="108"/>
      <c r="L316" s="155"/>
    </row>
    <row r="317" spans="1:12" s="40" customFormat="1" ht="24" outlineLevel="1" x14ac:dyDescent="0.2">
      <c r="A317" s="35" t="s">
        <v>564</v>
      </c>
      <c r="B317" s="148">
        <v>43159</v>
      </c>
      <c r="C317" s="147">
        <v>43250</v>
      </c>
      <c r="D317" s="96">
        <v>90</v>
      </c>
      <c r="E317" s="100"/>
      <c r="F317" s="100">
        <v>5720.36</v>
      </c>
      <c r="G317" s="22"/>
      <c r="H317" s="87">
        <f t="shared" si="42"/>
        <v>5720.36</v>
      </c>
      <c r="I317" s="77">
        <f t="shared" si="43"/>
        <v>5720.36</v>
      </c>
      <c r="J317" s="128"/>
      <c r="K317" s="108"/>
      <c r="L317" s="155"/>
    </row>
    <row r="318" spans="1:12" s="40" customFormat="1" ht="24" outlineLevel="1" x14ac:dyDescent="0.2">
      <c r="A318" s="35" t="s">
        <v>565</v>
      </c>
      <c r="B318" s="148">
        <v>43159</v>
      </c>
      <c r="C318" s="147">
        <v>43432</v>
      </c>
      <c r="D318" s="96">
        <v>45</v>
      </c>
      <c r="E318" s="100"/>
      <c r="F318" s="100">
        <v>5154.83</v>
      </c>
      <c r="G318" s="22"/>
      <c r="H318" s="87">
        <f t="shared" si="42"/>
        <v>5154.83</v>
      </c>
      <c r="I318" s="77">
        <f t="shared" si="43"/>
        <v>5154.83</v>
      </c>
      <c r="J318" s="128"/>
      <c r="K318" s="108"/>
      <c r="L318" s="155"/>
    </row>
    <row r="319" spans="1:12" s="40" customFormat="1" ht="24" outlineLevel="1" x14ac:dyDescent="0.2">
      <c r="A319" s="35" t="s">
        <v>566</v>
      </c>
      <c r="B319" s="148">
        <v>43131</v>
      </c>
      <c r="C319" s="147">
        <v>43250</v>
      </c>
      <c r="D319" s="96">
        <v>95</v>
      </c>
      <c r="E319" s="100"/>
      <c r="F319" s="100">
        <v>4945.07</v>
      </c>
      <c r="G319" s="22"/>
      <c r="H319" s="87">
        <f t="shared" si="42"/>
        <v>4945.07</v>
      </c>
      <c r="I319" s="77">
        <f t="shared" si="43"/>
        <v>4945.07</v>
      </c>
      <c r="J319" s="128"/>
      <c r="K319" s="108"/>
      <c r="L319" s="155"/>
    </row>
    <row r="320" spans="1:12" s="40" customFormat="1" outlineLevel="1" x14ac:dyDescent="0.2">
      <c r="A320" s="35" t="s">
        <v>567</v>
      </c>
      <c r="B320" s="148">
        <v>43131</v>
      </c>
      <c r="C320" s="147">
        <v>43403</v>
      </c>
      <c r="D320" s="96">
        <v>20</v>
      </c>
      <c r="E320" s="100">
        <v>6700</v>
      </c>
      <c r="F320" s="100"/>
      <c r="G320" s="22"/>
      <c r="H320" s="87">
        <f t="shared" si="42"/>
        <v>6700</v>
      </c>
      <c r="I320" s="77">
        <f t="shared" si="43"/>
        <v>6700</v>
      </c>
      <c r="J320" s="128"/>
      <c r="K320" s="108"/>
      <c r="L320" s="155"/>
    </row>
    <row r="321" spans="1:12" s="40" customFormat="1" ht="24" outlineLevel="1" x14ac:dyDescent="0.2">
      <c r="A321" s="35" t="s">
        <v>352</v>
      </c>
      <c r="B321" s="148">
        <v>43070</v>
      </c>
      <c r="C321" s="147">
        <v>43250</v>
      </c>
      <c r="D321" s="96">
        <v>95</v>
      </c>
      <c r="E321" s="100"/>
      <c r="F321" s="100">
        <v>10586.35</v>
      </c>
      <c r="G321" s="22"/>
      <c r="H321" s="87">
        <f t="shared" si="42"/>
        <v>10586.35</v>
      </c>
      <c r="I321" s="77">
        <f t="shared" si="43"/>
        <v>10586.35</v>
      </c>
      <c r="J321" s="128"/>
      <c r="K321" s="108"/>
      <c r="L321" s="155"/>
    </row>
    <row r="322" spans="1:12" s="40" customFormat="1" outlineLevel="1" x14ac:dyDescent="0.2">
      <c r="A322" s="35" t="s">
        <v>568</v>
      </c>
      <c r="B322" s="148">
        <v>43159</v>
      </c>
      <c r="C322" s="147">
        <v>43432</v>
      </c>
      <c r="D322" s="96">
        <v>45</v>
      </c>
      <c r="E322" s="100"/>
      <c r="F322" s="100">
        <v>23767.86</v>
      </c>
      <c r="G322" s="22"/>
      <c r="H322" s="87">
        <f t="shared" si="42"/>
        <v>23767.86</v>
      </c>
      <c r="I322" s="77">
        <f t="shared" si="43"/>
        <v>23767.86</v>
      </c>
      <c r="J322" s="128"/>
      <c r="K322" s="108"/>
      <c r="L322" s="155"/>
    </row>
    <row r="323" spans="1:12" s="40" customFormat="1" ht="24" outlineLevel="1" x14ac:dyDescent="0.2">
      <c r="A323" s="35" t="s">
        <v>569</v>
      </c>
      <c r="B323" s="148">
        <v>43131</v>
      </c>
      <c r="C323" s="147">
        <v>43250</v>
      </c>
      <c r="D323" s="96">
        <v>90</v>
      </c>
      <c r="E323" s="100"/>
      <c r="F323" s="100">
        <v>5371.08</v>
      </c>
      <c r="G323" s="22"/>
      <c r="H323" s="87">
        <f t="shared" si="42"/>
        <v>5371.08</v>
      </c>
      <c r="I323" s="77">
        <f t="shared" si="43"/>
        <v>5371.08</v>
      </c>
      <c r="J323" s="128"/>
      <c r="K323" s="108"/>
      <c r="L323" s="155"/>
    </row>
    <row r="324" spans="1:12" s="40" customFormat="1" outlineLevel="1" x14ac:dyDescent="0.2">
      <c r="A324" s="35" t="s">
        <v>353</v>
      </c>
      <c r="B324" s="148">
        <v>43069</v>
      </c>
      <c r="C324" s="147">
        <v>43465</v>
      </c>
      <c r="D324" s="96">
        <v>45</v>
      </c>
      <c r="E324" s="100"/>
      <c r="F324" s="100">
        <v>5329.15</v>
      </c>
      <c r="G324" s="22"/>
      <c r="H324" s="87">
        <f t="shared" si="42"/>
        <v>5329.15</v>
      </c>
      <c r="I324" s="77">
        <f t="shared" si="43"/>
        <v>5329.15</v>
      </c>
      <c r="J324" s="128"/>
      <c r="K324" s="108"/>
      <c r="L324" s="155"/>
    </row>
    <row r="325" spans="1:12" s="40" customFormat="1" outlineLevel="1" x14ac:dyDescent="0.2">
      <c r="A325" s="35" t="s">
        <v>354</v>
      </c>
      <c r="B325" s="148">
        <v>43069</v>
      </c>
      <c r="C325" s="147">
        <v>43434</v>
      </c>
      <c r="D325" s="96">
        <v>45</v>
      </c>
      <c r="E325" s="100"/>
      <c r="F325" s="100">
        <v>5329.15</v>
      </c>
      <c r="G325" s="22"/>
      <c r="H325" s="87">
        <f t="shared" si="42"/>
        <v>5329.15</v>
      </c>
      <c r="I325" s="77">
        <f t="shared" si="43"/>
        <v>5329.15</v>
      </c>
      <c r="J325" s="128"/>
      <c r="K325" s="108"/>
      <c r="L325" s="155"/>
    </row>
    <row r="326" spans="1:12" s="40" customFormat="1" ht="24" outlineLevel="1" x14ac:dyDescent="0.2">
      <c r="A326" s="35" t="s">
        <v>570</v>
      </c>
      <c r="B326" s="148">
        <v>42794</v>
      </c>
      <c r="C326" s="147">
        <v>43250</v>
      </c>
      <c r="D326" s="96">
        <v>90</v>
      </c>
      <c r="E326" s="100"/>
      <c r="F326" s="100">
        <v>4923.74</v>
      </c>
      <c r="G326" s="22"/>
      <c r="H326" s="87">
        <f t="shared" si="42"/>
        <v>4923.74</v>
      </c>
      <c r="I326" s="77">
        <f t="shared" si="43"/>
        <v>4923.74</v>
      </c>
      <c r="J326" s="128"/>
      <c r="K326" s="108"/>
      <c r="L326" s="155"/>
    </row>
    <row r="327" spans="1:12" s="40" customFormat="1" ht="24" outlineLevel="1" x14ac:dyDescent="0.2">
      <c r="A327" s="35" t="s">
        <v>235</v>
      </c>
      <c r="B327" s="148">
        <v>43008</v>
      </c>
      <c r="C327" s="147">
        <v>43373</v>
      </c>
      <c r="D327" s="96">
        <v>45</v>
      </c>
      <c r="E327" s="100"/>
      <c r="F327" s="100">
        <v>32655.11</v>
      </c>
      <c r="G327" s="22"/>
      <c r="H327" s="87">
        <f t="shared" si="42"/>
        <v>32655.11</v>
      </c>
      <c r="I327" s="77">
        <f t="shared" si="43"/>
        <v>32655.11</v>
      </c>
      <c r="J327" s="128"/>
      <c r="K327" s="108"/>
      <c r="L327" s="155"/>
    </row>
    <row r="328" spans="1:12" s="40" customFormat="1" ht="24" outlineLevel="1" x14ac:dyDescent="0.2">
      <c r="A328" s="35" t="s">
        <v>571</v>
      </c>
      <c r="B328" s="148">
        <v>43190</v>
      </c>
      <c r="C328" s="147">
        <v>43465</v>
      </c>
      <c r="D328" s="96">
        <v>45</v>
      </c>
      <c r="E328" s="100"/>
      <c r="F328" s="100">
        <v>626.01</v>
      </c>
      <c r="G328" s="22"/>
      <c r="H328" s="87">
        <f t="shared" si="42"/>
        <v>626.01</v>
      </c>
      <c r="I328" s="77">
        <f t="shared" si="43"/>
        <v>626.01</v>
      </c>
      <c r="J328" s="128"/>
      <c r="K328" s="108"/>
      <c r="L328" s="155"/>
    </row>
    <row r="329" spans="1:12" s="40" customFormat="1" outlineLevel="1" x14ac:dyDescent="0.2">
      <c r="A329" s="35" t="s">
        <v>572</v>
      </c>
      <c r="B329" s="148">
        <v>43131</v>
      </c>
      <c r="C329" s="147">
        <v>43403</v>
      </c>
      <c r="D329" s="96">
        <v>20</v>
      </c>
      <c r="E329" s="100">
        <v>6800</v>
      </c>
      <c r="F329" s="100"/>
      <c r="G329" s="22"/>
      <c r="H329" s="87">
        <f t="shared" si="42"/>
        <v>6800</v>
      </c>
      <c r="I329" s="77">
        <f t="shared" si="43"/>
        <v>6800</v>
      </c>
      <c r="J329" s="128"/>
      <c r="K329" s="108"/>
      <c r="L329" s="155"/>
    </row>
    <row r="330" spans="1:12" s="40" customFormat="1" outlineLevel="1" x14ac:dyDescent="0.2">
      <c r="A330" s="35" t="s">
        <v>573</v>
      </c>
      <c r="B330" s="148">
        <v>43190</v>
      </c>
      <c r="C330" s="147">
        <v>43465</v>
      </c>
      <c r="D330" s="96">
        <v>45</v>
      </c>
      <c r="E330" s="100"/>
      <c r="F330" s="100">
        <v>7258.77</v>
      </c>
      <c r="G330" s="22"/>
      <c r="H330" s="87">
        <f t="shared" si="42"/>
        <v>7258.77</v>
      </c>
      <c r="I330" s="77">
        <f t="shared" si="43"/>
        <v>7258.77</v>
      </c>
      <c r="J330" s="128"/>
      <c r="K330" s="108"/>
      <c r="L330" s="155"/>
    </row>
    <row r="331" spans="1:12" s="40" customFormat="1" outlineLevel="1" x14ac:dyDescent="0.2">
      <c r="A331" s="35" t="s">
        <v>355</v>
      </c>
      <c r="B331" s="148">
        <v>43069</v>
      </c>
      <c r="C331" s="147">
        <v>43434</v>
      </c>
      <c r="D331" s="96">
        <v>45</v>
      </c>
      <c r="E331" s="100"/>
      <c r="F331" s="100">
        <v>5506.03</v>
      </c>
      <c r="G331" s="22"/>
      <c r="H331" s="87">
        <f t="shared" si="42"/>
        <v>5506.03</v>
      </c>
      <c r="I331" s="77">
        <f t="shared" si="43"/>
        <v>5506.03</v>
      </c>
      <c r="J331" s="128"/>
      <c r="K331" s="108"/>
      <c r="L331" s="155"/>
    </row>
    <row r="332" spans="1:12" s="40" customFormat="1" ht="24" outlineLevel="1" x14ac:dyDescent="0.2">
      <c r="A332" s="35" t="s">
        <v>356</v>
      </c>
      <c r="B332" s="148">
        <v>42491</v>
      </c>
      <c r="C332" s="147">
        <v>43313</v>
      </c>
      <c r="D332" s="96">
        <v>20</v>
      </c>
      <c r="E332" s="100">
        <v>6800</v>
      </c>
      <c r="F332" s="100"/>
      <c r="G332" s="22"/>
      <c r="H332" s="87">
        <f t="shared" si="42"/>
        <v>6800</v>
      </c>
      <c r="I332" s="77">
        <f t="shared" si="43"/>
        <v>6800</v>
      </c>
      <c r="J332" s="128"/>
      <c r="K332" s="108"/>
      <c r="L332" s="155"/>
    </row>
    <row r="333" spans="1:12" s="40" customFormat="1" ht="24" outlineLevel="1" x14ac:dyDescent="0.2">
      <c r="A333" s="35" t="s">
        <v>574</v>
      </c>
      <c r="B333" s="148">
        <v>43131</v>
      </c>
      <c r="C333" s="147">
        <v>43403</v>
      </c>
      <c r="D333" s="96">
        <v>45</v>
      </c>
      <c r="E333" s="100"/>
      <c r="F333" s="100">
        <v>4945.0600000000004</v>
      </c>
      <c r="G333" s="22"/>
      <c r="H333" s="87">
        <f t="shared" si="42"/>
        <v>4945.0600000000004</v>
      </c>
      <c r="I333" s="77">
        <f t="shared" si="43"/>
        <v>4945.0600000000004</v>
      </c>
      <c r="J333" s="128"/>
      <c r="K333" s="108"/>
      <c r="L333" s="155"/>
    </row>
    <row r="334" spans="1:12" s="40" customFormat="1" ht="24" outlineLevel="1" x14ac:dyDescent="0.2">
      <c r="A334" s="35" t="s">
        <v>357</v>
      </c>
      <c r="B334" s="148">
        <v>43069</v>
      </c>
      <c r="C334" s="147">
        <v>43434</v>
      </c>
      <c r="D334" s="96">
        <v>45</v>
      </c>
      <c r="E334" s="100"/>
      <c r="F334" s="100">
        <v>5967.9139999999998</v>
      </c>
      <c r="G334" s="22"/>
      <c r="H334" s="87">
        <f t="shared" si="42"/>
        <v>5967.9139999999998</v>
      </c>
      <c r="I334" s="77">
        <f t="shared" si="43"/>
        <v>5967.9139999999998</v>
      </c>
      <c r="J334" s="128"/>
      <c r="K334" s="108"/>
      <c r="L334" s="155"/>
    </row>
    <row r="335" spans="1:12" s="40" customFormat="1" ht="24" outlineLevel="1" x14ac:dyDescent="0.2">
      <c r="A335" s="35" t="s">
        <v>236</v>
      </c>
      <c r="B335" s="148">
        <v>42928</v>
      </c>
      <c r="C335" s="147">
        <v>43293</v>
      </c>
      <c r="D335" s="96">
        <v>45</v>
      </c>
      <c r="E335" s="100">
        <v>10500</v>
      </c>
      <c r="F335" s="100">
        <v>52064.08</v>
      </c>
      <c r="G335" s="22"/>
      <c r="H335" s="87">
        <f t="shared" si="42"/>
        <v>62564.08</v>
      </c>
      <c r="I335" s="77">
        <f t="shared" si="43"/>
        <v>62564.08</v>
      </c>
      <c r="J335" s="128"/>
      <c r="K335" s="108"/>
      <c r="L335" s="155"/>
    </row>
    <row r="336" spans="1:12" s="40" customFormat="1" ht="24" outlineLevel="1" x14ac:dyDescent="0.2">
      <c r="A336" s="35" t="s">
        <v>575</v>
      </c>
      <c r="B336" s="148">
        <v>43159</v>
      </c>
      <c r="C336" s="147">
        <v>43432</v>
      </c>
      <c r="D336" s="96">
        <v>45</v>
      </c>
      <c r="E336" s="100"/>
      <c r="F336" s="100">
        <v>4773.16</v>
      </c>
      <c r="G336" s="22"/>
      <c r="H336" s="87">
        <f t="shared" si="42"/>
        <v>4773.16</v>
      </c>
      <c r="I336" s="77">
        <f t="shared" si="43"/>
        <v>4773.16</v>
      </c>
      <c r="J336" s="128"/>
      <c r="K336" s="108"/>
      <c r="L336" s="155"/>
    </row>
    <row r="337" spans="1:12" s="40" customFormat="1" outlineLevel="1" x14ac:dyDescent="0.2">
      <c r="A337" s="35" t="s">
        <v>576</v>
      </c>
      <c r="B337" s="148">
        <v>43190</v>
      </c>
      <c r="C337" s="147">
        <v>43465</v>
      </c>
      <c r="D337" s="96">
        <v>45</v>
      </c>
      <c r="E337" s="100"/>
      <c r="F337" s="100">
        <v>4300.58</v>
      </c>
      <c r="G337" s="22"/>
      <c r="H337" s="87">
        <f t="shared" si="42"/>
        <v>4300.58</v>
      </c>
      <c r="I337" s="77">
        <f t="shared" si="43"/>
        <v>4300.58</v>
      </c>
      <c r="J337" s="128"/>
      <c r="K337" s="108"/>
      <c r="L337" s="155"/>
    </row>
    <row r="338" spans="1:12" s="40" customFormat="1" ht="24" outlineLevel="1" x14ac:dyDescent="0.2">
      <c r="A338" s="35" t="s">
        <v>338</v>
      </c>
      <c r="B338" s="148">
        <v>43074</v>
      </c>
      <c r="C338" s="147">
        <v>43439</v>
      </c>
      <c r="D338" s="96">
        <v>20</v>
      </c>
      <c r="E338" s="100">
        <v>11300</v>
      </c>
      <c r="F338" s="100"/>
      <c r="G338" s="22"/>
      <c r="H338" s="87">
        <f t="shared" si="42"/>
        <v>11300</v>
      </c>
      <c r="I338" s="77">
        <f t="shared" si="43"/>
        <v>11300</v>
      </c>
      <c r="J338" s="128"/>
      <c r="K338" s="108"/>
      <c r="L338" s="155"/>
    </row>
    <row r="339" spans="1:12" s="40" customFormat="1" outlineLevel="1" x14ac:dyDescent="0.2">
      <c r="A339" s="35" t="s">
        <v>358</v>
      </c>
      <c r="B339" s="148">
        <v>43100</v>
      </c>
      <c r="C339" s="147">
        <v>43465</v>
      </c>
      <c r="D339" s="96">
        <v>45</v>
      </c>
      <c r="E339" s="100">
        <v>6800</v>
      </c>
      <c r="F339" s="100">
        <v>4317.8100000000004</v>
      </c>
      <c r="G339" s="22"/>
      <c r="H339" s="87">
        <f t="shared" si="42"/>
        <v>11117.810000000001</v>
      </c>
      <c r="I339" s="77">
        <f t="shared" si="43"/>
        <v>11117.810000000001</v>
      </c>
      <c r="J339" s="128"/>
      <c r="K339" s="108"/>
      <c r="L339" s="155"/>
    </row>
    <row r="340" spans="1:12" s="40" customFormat="1" outlineLevel="1" x14ac:dyDescent="0.2">
      <c r="A340" s="35" t="s">
        <v>359</v>
      </c>
      <c r="B340" s="148">
        <v>42917</v>
      </c>
      <c r="C340" s="147">
        <v>43250</v>
      </c>
      <c r="D340" s="96">
        <v>90</v>
      </c>
      <c r="E340" s="100"/>
      <c r="F340" s="100">
        <v>5165.6899999999996</v>
      </c>
      <c r="G340" s="22"/>
      <c r="H340" s="87">
        <f t="shared" si="42"/>
        <v>5165.6899999999996</v>
      </c>
      <c r="I340" s="77">
        <f t="shared" si="43"/>
        <v>5165.6899999999996</v>
      </c>
      <c r="J340" s="128"/>
      <c r="K340" s="108"/>
      <c r="L340" s="155"/>
    </row>
    <row r="341" spans="1:12" s="40" customFormat="1" ht="24" outlineLevel="1" x14ac:dyDescent="0.2">
      <c r="A341" s="35" t="s">
        <v>360</v>
      </c>
      <c r="B341" s="148">
        <v>43006</v>
      </c>
      <c r="C341" s="147">
        <v>43371</v>
      </c>
      <c r="D341" s="96">
        <v>20</v>
      </c>
      <c r="E341" s="100">
        <v>6500</v>
      </c>
      <c r="F341" s="100"/>
      <c r="G341" s="22"/>
      <c r="H341" s="87">
        <f t="shared" si="42"/>
        <v>6500</v>
      </c>
      <c r="I341" s="77">
        <f t="shared" si="43"/>
        <v>6500</v>
      </c>
      <c r="J341" s="128"/>
      <c r="K341" s="108"/>
      <c r="L341" s="155"/>
    </row>
    <row r="342" spans="1:12" s="40" customFormat="1" ht="24" outlineLevel="1" x14ac:dyDescent="0.2">
      <c r="A342" s="35" t="s">
        <v>361</v>
      </c>
      <c r="B342" s="148">
        <v>43013</v>
      </c>
      <c r="C342" s="147">
        <v>43378</v>
      </c>
      <c r="D342" s="96">
        <v>20</v>
      </c>
      <c r="E342" s="100">
        <v>57300</v>
      </c>
      <c r="F342" s="100"/>
      <c r="G342" s="22"/>
      <c r="H342" s="87">
        <f t="shared" si="42"/>
        <v>57300</v>
      </c>
      <c r="I342" s="77">
        <f t="shared" si="43"/>
        <v>57300</v>
      </c>
      <c r="J342" s="128"/>
      <c r="K342" s="108"/>
      <c r="L342" s="155"/>
    </row>
    <row r="343" spans="1:12" s="40" customFormat="1" ht="24" outlineLevel="1" x14ac:dyDescent="0.2">
      <c r="A343" s="35" t="s">
        <v>237</v>
      </c>
      <c r="B343" s="148">
        <v>42491</v>
      </c>
      <c r="C343" s="147">
        <v>43405</v>
      </c>
      <c r="D343" s="96">
        <v>40</v>
      </c>
      <c r="E343" s="100"/>
      <c r="F343" s="100">
        <v>60761.19</v>
      </c>
      <c r="G343" s="22"/>
      <c r="H343" s="87">
        <f t="shared" si="42"/>
        <v>60761.19</v>
      </c>
      <c r="I343" s="77">
        <f t="shared" si="43"/>
        <v>60761.19</v>
      </c>
      <c r="J343" s="128"/>
      <c r="K343" s="108"/>
      <c r="L343" s="155"/>
    </row>
    <row r="344" spans="1:12" s="40" customFormat="1" ht="24" outlineLevel="1" x14ac:dyDescent="0.2">
      <c r="A344" s="35" t="s">
        <v>238</v>
      </c>
      <c r="B344" s="148">
        <v>42491</v>
      </c>
      <c r="C344" s="147">
        <v>43405</v>
      </c>
      <c r="D344" s="96">
        <v>40</v>
      </c>
      <c r="E344" s="100"/>
      <c r="F344" s="100">
        <v>60248.6</v>
      </c>
      <c r="G344" s="22"/>
      <c r="H344" s="87">
        <f t="shared" si="42"/>
        <v>60248.6</v>
      </c>
      <c r="I344" s="77">
        <f t="shared" si="43"/>
        <v>60248.6</v>
      </c>
      <c r="J344" s="128"/>
      <c r="K344" s="108"/>
      <c r="L344" s="155"/>
    </row>
    <row r="345" spans="1:12" s="40" customFormat="1" ht="24" outlineLevel="1" x14ac:dyDescent="0.2">
      <c r="A345" s="35" t="s">
        <v>362</v>
      </c>
      <c r="B345" s="148">
        <v>43019</v>
      </c>
      <c r="C345" s="147">
        <v>43384</v>
      </c>
      <c r="D345" s="96">
        <v>20</v>
      </c>
      <c r="E345" s="100">
        <v>41000</v>
      </c>
      <c r="F345" s="100"/>
      <c r="G345" s="22"/>
      <c r="H345" s="87">
        <f t="shared" si="42"/>
        <v>41000</v>
      </c>
      <c r="I345" s="77">
        <f t="shared" si="43"/>
        <v>41000</v>
      </c>
      <c r="J345" s="128"/>
      <c r="K345" s="108"/>
      <c r="L345" s="155"/>
    </row>
    <row r="346" spans="1:12" s="40" customFormat="1" outlineLevel="1" x14ac:dyDescent="0.2">
      <c r="A346" s="35" t="s">
        <v>577</v>
      </c>
      <c r="B346" s="148">
        <v>43131</v>
      </c>
      <c r="C346" s="147">
        <v>43403</v>
      </c>
      <c r="D346" s="96">
        <v>45</v>
      </c>
      <c r="E346" s="100">
        <v>7400</v>
      </c>
      <c r="F346" s="100">
        <v>3788</v>
      </c>
      <c r="G346" s="22"/>
      <c r="H346" s="87">
        <f t="shared" si="42"/>
        <v>11188</v>
      </c>
      <c r="I346" s="77">
        <f t="shared" si="43"/>
        <v>11188</v>
      </c>
      <c r="J346" s="128"/>
      <c r="K346" s="108"/>
      <c r="L346" s="155"/>
    </row>
    <row r="347" spans="1:12" s="40" customFormat="1" outlineLevel="1" x14ac:dyDescent="0.2">
      <c r="A347" s="35" t="s">
        <v>578</v>
      </c>
      <c r="B347" s="148">
        <v>43159</v>
      </c>
      <c r="C347" s="147">
        <v>43250</v>
      </c>
      <c r="D347" s="96">
        <v>90</v>
      </c>
      <c r="E347" s="100"/>
      <c r="F347" s="100">
        <v>5489.3</v>
      </c>
      <c r="G347" s="22"/>
      <c r="H347" s="87">
        <f t="shared" si="42"/>
        <v>5489.3</v>
      </c>
      <c r="I347" s="77">
        <f t="shared" si="43"/>
        <v>5489.3</v>
      </c>
      <c r="J347" s="128"/>
      <c r="K347" s="108"/>
      <c r="L347" s="155"/>
    </row>
    <row r="348" spans="1:12" s="40" customFormat="1" outlineLevel="1" x14ac:dyDescent="0.2">
      <c r="A348" s="35" t="s">
        <v>579</v>
      </c>
      <c r="B348" s="148">
        <v>43131</v>
      </c>
      <c r="C348" s="147">
        <v>43404</v>
      </c>
      <c r="D348" s="96">
        <v>20</v>
      </c>
      <c r="E348" s="100">
        <v>7000</v>
      </c>
      <c r="F348" s="100"/>
      <c r="G348" s="22"/>
      <c r="H348" s="87">
        <f t="shared" si="42"/>
        <v>7000</v>
      </c>
      <c r="I348" s="77">
        <f t="shared" si="43"/>
        <v>7000</v>
      </c>
      <c r="J348" s="128"/>
      <c r="K348" s="108"/>
      <c r="L348" s="155"/>
    </row>
    <row r="349" spans="1:12" s="40" customFormat="1" outlineLevel="1" x14ac:dyDescent="0.2">
      <c r="A349" s="35" t="s">
        <v>580</v>
      </c>
      <c r="B349" s="148">
        <v>43190</v>
      </c>
      <c r="C349" s="147">
        <v>43250</v>
      </c>
      <c r="D349" s="96">
        <v>90</v>
      </c>
      <c r="E349" s="100"/>
      <c r="F349" s="100">
        <v>7612.71</v>
      </c>
      <c r="G349" s="22"/>
      <c r="H349" s="87">
        <f t="shared" si="42"/>
        <v>7612.71</v>
      </c>
      <c r="I349" s="77">
        <f t="shared" si="43"/>
        <v>7612.71</v>
      </c>
      <c r="J349" s="128"/>
      <c r="K349" s="108"/>
      <c r="L349" s="155"/>
    </row>
    <row r="350" spans="1:12" s="40" customFormat="1" outlineLevel="1" x14ac:dyDescent="0.2">
      <c r="A350" s="35" t="s">
        <v>363</v>
      </c>
      <c r="B350" s="148">
        <v>43096</v>
      </c>
      <c r="C350" s="147">
        <v>43461</v>
      </c>
      <c r="D350" s="96">
        <v>45</v>
      </c>
      <c r="E350" s="100">
        <v>6700</v>
      </c>
      <c r="F350" s="100">
        <v>6241.81</v>
      </c>
      <c r="G350" s="22"/>
      <c r="H350" s="87">
        <f t="shared" si="42"/>
        <v>12941.810000000001</v>
      </c>
      <c r="I350" s="77">
        <f t="shared" si="43"/>
        <v>12941.810000000001</v>
      </c>
      <c r="J350" s="128"/>
      <c r="K350" s="108"/>
      <c r="L350" s="155"/>
    </row>
    <row r="351" spans="1:12" s="40" customFormat="1" ht="24" outlineLevel="1" x14ac:dyDescent="0.2">
      <c r="A351" s="35" t="s">
        <v>581</v>
      </c>
      <c r="B351" s="148">
        <v>43159</v>
      </c>
      <c r="C351" s="147">
        <v>43432</v>
      </c>
      <c r="D351" s="96">
        <v>45</v>
      </c>
      <c r="E351" s="100"/>
      <c r="F351" s="100">
        <v>5206.5200000000004</v>
      </c>
      <c r="G351" s="22"/>
      <c r="H351" s="87">
        <f t="shared" si="42"/>
        <v>5206.5200000000004</v>
      </c>
      <c r="I351" s="77">
        <f t="shared" si="43"/>
        <v>5206.5200000000004</v>
      </c>
      <c r="J351" s="128"/>
      <c r="K351" s="108"/>
      <c r="L351" s="155"/>
    </row>
    <row r="352" spans="1:12" s="40" customFormat="1" outlineLevel="1" x14ac:dyDescent="0.2">
      <c r="A352" s="35" t="s">
        <v>582</v>
      </c>
      <c r="B352" s="148">
        <v>43159</v>
      </c>
      <c r="C352" s="147">
        <v>43432</v>
      </c>
      <c r="D352" s="96">
        <v>45</v>
      </c>
      <c r="E352" s="100"/>
      <c r="F352" s="100">
        <v>4923.74</v>
      </c>
      <c r="G352" s="22"/>
      <c r="H352" s="87">
        <f t="shared" si="42"/>
        <v>4923.74</v>
      </c>
      <c r="I352" s="77">
        <f t="shared" si="43"/>
        <v>4923.74</v>
      </c>
      <c r="J352" s="128"/>
      <c r="K352" s="108"/>
      <c r="L352" s="155"/>
    </row>
    <row r="353" spans="1:12" s="40" customFormat="1" ht="24" outlineLevel="1" x14ac:dyDescent="0.2">
      <c r="A353" s="35" t="s">
        <v>364</v>
      </c>
      <c r="B353" s="148">
        <v>43080</v>
      </c>
      <c r="C353" s="147">
        <v>43445</v>
      </c>
      <c r="D353" s="96">
        <v>45</v>
      </c>
      <c r="E353" s="100">
        <v>5800</v>
      </c>
      <c r="F353" s="100">
        <v>4923.74</v>
      </c>
      <c r="G353" s="22"/>
      <c r="H353" s="87">
        <f t="shared" si="42"/>
        <v>10723.74</v>
      </c>
      <c r="I353" s="77">
        <f t="shared" si="43"/>
        <v>10723.74</v>
      </c>
      <c r="J353" s="128"/>
      <c r="K353" s="108"/>
      <c r="L353" s="155"/>
    </row>
    <row r="354" spans="1:12" s="40" customFormat="1" outlineLevel="1" x14ac:dyDescent="0.2">
      <c r="A354" s="35" t="s">
        <v>365</v>
      </c>
      <c r="B354" s="148">
        <v>43100</v>
      </c>
      <c r="C354" s="147">
        <v>43465</v>
      </c>
      <c r="D354" s="96">
        <v>45</v>
      </c>
      <c r="E354" s="100"/>
      <c r="F354" s="100">
        <v>558.4</v>
      </c>
      <c r="G354" s="22"/>
      <c r="H354" s="87">
        <f t="shared" si="42"/>
        <v>558.4</v>
      </c>
      <c r="I354" s="77">
        <f t="shared" si="43"/>
        <v>558.4</v>
      </c>
      <c r="J354" s="128"/>
      <c r="K354" s="108"/>
      <c r="L354" s="155"/>
    </row>
    <row r="355" spans="1:12" s="40" customFormat="1" outlineLevel="1" x14ac:dyDescent="0.2">
      <c r="A355" s="35" t="s">
        <v>583</v>
      </c>
      <c r="B355" s="148">
        <v>43131</v>
      </c>
      <c r="C355" s="147">
        <v>43404</v>
      </c>
      <c r="D355" s="96">
        <v>20</v>
      </c>
      <c r="E355" s="100">
        <v>10900</v>
      </c>
      <c r="F355" s="100"/>
      <c r="G355" s="22"/>
      <c r="H355" s="87">
        <f t="shared" si="42"/>
        <v>10900</v>
      </c>
      <c r="I355" s="77">
        <f t="shared" si="43"/>
        <v>10900</v>
      </c>
      <c r="J355" s="128"/>
      <c r="K355" s="108"/>
      <c r="L355" s="155"/>
    </row>
    <row r="356" spans="1:12" s="40" customFormat="1" outlineLevel="1" x14ac:dyDescent="0.2">
      <c r="A356" s="35" t="s">
        <v>584</v>
      </c>
      <c r="B356" s="148">
        <v>43181</v>
      </c>
      <c r="C356" s="147">
        <v>43250</v>
      </c>
      <c r="D356" s="96">
        <v>90</v>
      </c>
      <c r="E356" s="100">
        <v>35000</v>
      </c>
      <c r="F356" s="100">
        <v>15738.35</v>
      </c>
      <c r="G356" s="22"/>
      <c r="H356" s="87">
        <f t="shared" si="42"/>
        <v>50738.35</v>
      </c>
      <c r="I356" s="77">
        <f t="shared" si="43"/>
        <v>50738.35</v>
      </c>
      <c r="J356" s="128"/>
      <c r="K356" s="108"/>
      <c r="L356" s="155"/>
    </row>
    <row r="357" spans="1:12" s="40" customFormat="1" outlineLevel="1" x14ac:dyDescent="0.2">
      <c r="A357" s="35" t="s">
        <v>585</v>
      </c>
      <c r="B357" s="148">
        <v>43181</v>
      </c>
      <c r="C357" s="147" t="s">
        <v>715</v>
      </c>
      <c r="D357" s="96">
        <v>90</v>
      </c>
      <c r="E357" s="100">
        <v>35000</v>
      </c>
      <c r="F357" s="100">
        <v>16066.05</v>
      </c>
      <c r="G357" s="22"/>
      <c r="H357" s="87">
        <f t="shared" si="42"/>
        <v>51066.05</v>
      </c>
      <c r="I357" s="77">
        <f t="shared" si="43"/>
        <v>51066.05</v>
      </c>
      <c r="J357" s="128"/>
      <c r="K357" s="108"/>
      <c r="L357" s="155"/>
    </row>
    <row r="358" spans="1:12" s="40" customFormat="1" outlineLevel="1" x14ac:dyDescent="0.2">
      <c r="A358" s="35" t="s">
        <v>586</v>
      </c>
      <c r="B358" s="148">
        <v>43181</v>
      </c>
      <c r="C358" s="147">
        <v>43250</v>
      </c>
      <c r="D358" s="96">
        <v>90</v>
      </c>
      <c r="E358" s="100">
        <v>35000</v>
      </c>
      <c r="F358" s="100">
        <v>17158.439999999999</v>
      </c>
      <c r="G358" s="22"/>
      <c r="H358" s="87">
        <f t="shared" si="42"/>
        <v>52158.44</v>
      </c>
      <c r="I358" s="77">
        <f t="shared" si="43"/>
        <v>52158.44</v>
      </c>
      <c r="J358" s="128"/>
      <c r="K358" s="108"/>
      <c r="L358" s="155"/>
    </row>
    <row r="359" spans="1:12" s="40" customFormat="1" ht="24" outlineLevel="1" x14ac:dyDescent="0.2">
      <c r="A359" s="35" t="s">
        <v>587</v>
      </c>
      <c r="B359" s="148">
        <v>43131</v>
      </c>
      <c r="C359" s="147">
        <v>43250</v>
      </c>
      <c r="D359" s="96">
        <v>90</v>
      </c>
      <c r="E359" s="100">
        <v>93400</v>
      </c>
      <c r="F359" s="100">
        <v>62103.45</v>
      </c>
      <c r="G359" s="22"/>
      <c r="H359" s="87">
        <f t="shared" si="42"/>
        <v>155503.45000000001</v>
      </c>
      <c r="I359" s="77">
        <f t="shared" si="43"/>
        <v>155503.45000000001</v>
      </c>
      <c r="J359" s="128"/>
      <c r="K359" s="108"/>
      <c r="L359" s="155"/>
    </row>
    <row r="360" spans="1:12" s="40" customFormat="1" ht="24" outlineLevel="1" x14ac:dyDescent="0.2">
      <c r="A360" s="35" t="s">
        <v>588</v>
      </c>
      <c r="B360" s="148">
        <v>43131</v>
      </c>
      <c r="C360" s="147">
        <v>43250</v>
      </c>
      <c r="D360" s="96">
        <v>90</v>
      </c>
      <c r="E360" s="100"/>
      <c r="F360" s="100">
        <v>4902.47</v>
      </c>
      <c r="G360" s="22"/>
      <c r="H360" s="87">
        <f t="shared" si="42"/>
        <v>4902.47</v>
      </c>
      <c r="I360" s="77">
        <f t="shared" si="43"/>
        <v>4902.47</v>
      </c>
      <c r="J360" s="128"/>
      <c r="K360" s="108"/>
      <c r="L360" s="155"/>
    </row>
    <row r="361" spans="1:12" s="40" customFormat="1" outlineLevel="1" x14ac:dyDescent="0.2">
      <c r="A361" s="35" t="s">
        <v>589</v>
      </c>
      <c r="B361" s="148">
        <v>43131</v>
      </c>
      <c r="C361" s="147">
        <v>43403</v>
      </c>
      <c r="D361" s="96">
        <v>20</v>
      </c>
      <c r="E361" s="100">
        <v>6600</v>
      </c>
      <c r="F361" s="100"/>
      <c r="G361" s="22"/>
      <c r="H361" s="87">
        <f t="shared" si="42"/>
        <v>6600</v>
      </c>
      <c r="I361" s="77">
        <f t="shared" si="43"/>
        <v>6600</v>
      </c>
      <c r="J361" s="128"/>
      <c r="K361" s="108"/>
      <c r="L361" s="155"/>
    </row>
    <row r="362" spans="1:12" s="40" customFormat="1" outlineLevel="1" x14ac:dyDescent="0.2">
      <c r="A362" s="35" t="s">
        <v>339</v>
      </c>
      <c r="B362" s="148">
        <v>43074</v>
      </c>
      <c r="C362" s="147">
        <v>43439</v>
      </c>
      <c r="D362" s="96">
        <v>20</v>
      </c>
      <c r="E362" s="100">
        <v>10000</v>
      </c>
      <c r="F362" s="100"/>
      <c r="G362" s="22"/>
      <c r="H362" s="87">
        <f t="shared" si="42"/>
        <v>10000</v>
      </c>
      <c r="I362" s="77">
        <f t="shared" si="43"/>
        <v>10000</v>
      </c>
      <c r="J362" s="128"/>
      <c r="K362" s="108"/>
      <c r="L362" s="155"/>
    </row>
    <row r="363" spans="1:12" s="40" customFormat="1" outlineLevel="1" x14ac:dyDescent="0.2">
      <c r="A363" s="35" t="s">
        <v>590</v>
      </c>
      <c r="B363" s="148">
        <v>43159</v>
      </c>
      <c r="C363" s="147">
        <v>43432</v>
      </c>
      <c r="D363" s="96">
        <v>80</v>
      </c>
      <c r="E363" s="100"/>
      <c r="F363" s="100">
        <v>3293.42</v>
      </c>
      <c r="G363" s="22"/>
      <c r="H363" s="87">
        <f t="shared" si="42"/>
        <v>3293.42</v>
      </c>
      <c r="I363" s="77">
        <f t="shared" si="43"/>
        <v>3293.42</v>
      </c>
      <c r="J363" s="128"/>
      <c r="K363" s="108"/>
      <c r="L363" s="155"/>
    </row>
    <row r="364" spans="1:12" s="40" customFormat="1" ht="24" outlineLevel="1" x14ac:dyDescent="0.2">
      <c r="A364" s="35" t="s">
        <v>366</v>
      </c>
      <c r="B364" s="148">
        <v>43013</v>
      </c>
      <c r="C364" s="147">
        <v>43378</v>
      </c>
      <c r="D364" s="96">
        <v>20</v>
      </c>
      <c r="E364" s="100">
        <v>41500</v>
      </c>
      <c r="F364" s="100"/>
      <c r="G364" s="22"/>
      <c r="H364" s="87">
        <f t="shared" si="42"/>
        <v>41500</v>
      </c>
      <c r="I364" s="77">
        <f t="shared" si="43"/>
        <v>41500</v>
      </c>
      <c r="J364" s="128"/>
      <c r="K364" s="108"/>
      <c r="L364" s="155"/>
    </row>
    <row r="365" spans="1:12" s="40" customFormat="1" outlineLevel="1" x14ac:dyDescent="0.2">
      <c r="A365" s="35" t="s">
        <v>367</v>
      </c>
      <c r="B365" s="148">
        <v>43070</v>
      </c>
      <c r="C365" s="147">
        <v>43435</v>
      </c>
      <c r="D365" s="96">
        <v>20</v>
      </c>
      <c r="E365" s="100">
        <v>7100</v>
      </c>
      <c r="F365" s="100">
        <v>16679.939999999999</v>
      </c>
      <c r="G365" s="22"/>
      <c r="H365" s="87">
        <f t="shared" si="42"/>
        <v>23779.94</v>
      </c>
      <c r="I365" s="77">
        <f t="shared" si="43"/>
        <v>23779.94</v>
      </c>
      <c r="J365" s="128"/>
      <c r="K365" s="108"/>
      <c r="L365" s="155"/>
    </row>
    <row r="366" spans="1:12" s="40" customFormat="1" outlineLevel="1" x14ac:dyDescent="0.2">
      <c r="A366" s="35" t="s">
        <v>368</v>
      </c>
      <c r="B366" s="148">
        <v>43062</v>
      </c>
      <c r="C366" s="147">
        <v>43427</v>
      </c>
      <c r="D366" s="96">
        <v>45</v>
      </c>
      <c r="E366" s="100">
        <v>5500</v>
      </c>
      <c r="F366" s="100">
        <v>5166.5600000000004</v>
      </c>
      <c r="G366" s="22"/>
      <c r="H366" s="87">
        <f t="shared" si="42"/>
        <v>10666.560000000001</v>
      </c>
      <c r="I366" s="77">
        <f t="shared" si="43"/>
        <v>10666.560000000001</v>
      </c>
      <c r="J366" s="128"/>
      <c r="K366" s="108"/>
      <c r="L366" s="155"/>
    </row>
    <row r="367" spans="1:12" s="40" customFormat="1" outlineLevel="1" x14ac:dyDescent="0.2">
      <c r="A367" s="35" t="s">
        <v>591</v>
      </c>
      <c r="B367" s="148">
        <v>43190</v>
      </c>
      <c r="C367" s="147">
        <v>43250</v>
      </c>
      <c r="D367" s="96">
        <v>90</v>
      </c>
      <c r="E367" s="100"/>
      <c r="F367" s="100">
        <v>6972.38</v>
      </c>
      <c r="G367" s="22"/>
      <c r="H367" s="87">
        <f t="shared" si="42"/>
        <v>6972.38</v>
      </c>
      <c r="I367" s="77">
        <f t="shared" si="43"/>
        <v>6972.38</v>
      </c>
      <c r="J367" s="128"/>
      <c r="K367" s="108"/>
      <c r="L367" s="155"/>
    </row>
    <row r="368" spans="1:12" s="40" customFormat="1" outlineLevel="1" x14ac:dyDescent="0.2">
      <c r="A368" s="35" t="s">
        <v>369</v>
      </c>
      <c r="B368" s="148">
        <v>43080</v>
      </c>
      <c r="C368" s="147">
        <v>43445</v>
      </c>
      <c r="D368" s="96">
        <v>20</v>
      </c>
      <c r="E368" s="100">
        <v>6300</v>
      </c>
      <c r="F368" s="100"/>
      <c r="G368" s="22"/>
      <c r="H368" s="87">
        <f t="shared" si="42"/>
        <v>6300</v>
      </c>
      <c r="I368" s="77">
        <f t="shared" si="43"/>
        <v>6300</v>
      </c>
      <c r="J368" s="128"/>
      <c r="K368" s="108"/>
      <c r="L368" s="155"/>
    </row>
    <row r="369" spans="1:12" s="40" customFormat="1" outlineLevel="1" x14ac:dyDescent="0.2">
      <c r="A369" s="35" t="s">
        <v>370</v>
      </c>
      <c r="B369" s="148">
        <v>43100</v>
      </c>
      <c r="C369" s="147">
        <v>43465</v>
      </c>
      <c r="D369" s="96">
        <v>45</v>
      </c>
      <c r="E369" s="100"/>
      <c r="F369" s="100">
        <v>6504.46</v>
      </c>
      <c r="G369" s="22"/>
      <c r="H369" s="87">
        <f t="shared" si="42"/>
        <v>6504.46</v>
      </c>
      <c r="I369" s="77">
        <f t="shared" si="43"/>
        <v>6504.46</v>
      </c>
      <c r="J369" s="128"/>
      <c r="K369" s="108"/>
      <c r="L369" s="155"/>
    </row>
    <row r="370" spans="1:12" s="40" customFormat="1" outlineLevel="1" x14ac:dyDescent="0.2">
      <c r="A370" s="35" t="s">
        <v>592</v>
      </c>
      <c r="B370" s="148">
        <v>43131</v>
      </c>
      <c r="C370" s="147">
        <v>43404</v>
      </c>
      <c r="D370" s="96">
        <v>20</v>
      </c>
      <c r="E370" s="100">
        <v>9400</v>
      </c>
      <c r="F370" s="100"/>
      <c r="G370" s="22"/>
      <c r="H370" s="87">
        <f t="shared" si="42"/>
        <v>9400</v>
      </c>
      <c r="I370" s="77">
        <f t="shared" si="43"/>
        <v>9400</v>
      </c>
      <c r="J370" s="128"/>
      <c r="K370" s="108"/>
      <c r="L370" s="155"/>
    </row>
    <row r="371" spans="1:12" s="40" customFormat="1" outlineLevel="1" x14ac:dyDescent="0.2">
      <c r="A371" s="35" t="s">
        <v>593</v>
      </c>
      <c r="B371" s="148">
        <v>43190</v>
      </c>
      <c r="C371" s="147">
        <v>43250</v>
      </c>
      <c r="D371" s="96">
        <v>90</v>
      </c>
      <c r="E371" s="100"/>
      <c r="F371" s="100">
        <v>49316.95</v>
      </c>
      <c r="G371" s="22"/>
      <c r="H371" s="87">
        <f t="shared" si="42"/>
        <v>49316.95</v>
      </c>
      <c r="I371" s="77">
        <f t="shared" si="43"/>
        <v>49316.95</v>
      </c>
      <c r="J371" s="128"/>
      <c r="K371" s="108"/>
      <c r="L371" s="155"/>
    </row>
    <row r="372" spans="1:12" s="40" customFormat="1" ht="24" outlineLevel="1" x14ac:dyDescent="0.2">
      <c r="A372" s="35" t="s">
        <v>239</v>
      </c>
      <c r="B372" s="148">
        <v>42766</v>
      </c>
      <c r="C372" s="147">
        <v>43404</v>
      </c>
      <c r="D372" s="96">
        <v>45</v>
      </c>
      <c r="E372" s="100"/>
      <c r="F372" s="100">
        <v>4568.78</v>
      </c>
      <c r="G372" s="22"/>
      <c r="H372" s="87">
        <f t="shared" si="42"/>
        <v>4568.78</v>
      </c>
      <c r="I372" s="77">
        <f t="shared" si="43"/>
        <v>4568.78</v>
      </c>
      <c r="J372" s="128"/>
      <c r="K372" s="108"/>
      <c r="L372" s="155"/>
    </row>
    <row r="373" spans="1:12" s="40" customFormat="1" ht="24" outlineLevel="1" x14ac:dyDescent="0.2">
      <c r="A373" s="35" t="s">
        <v>594</v>
      </c>
      <c r="B373" s="148">
        <v>43159</v>
      </c>
      <c r="C373" s="147">
        <v>43432</v>
      </c>
      <c r="D373" s="96">
        <v>45</v>
      </c>
      <c r="E373" s="100"/>
      <c r="F373" s="100">
        <v>2507.1</v>
      </c>
      <c r="G373" s="22"/>
      <c r="H373" s="87">
        <f t="shared" si="42"/>
        <v>2507.1</v>
      </c>
      <c r="I373" s="77">
        <f t="shared" si="43"/>
        <v>2507.1</v>
      </c>
      <c r="J373" s="128"/>
      <c r="K373" s="108"/>
      <c r="L373" s="155"/>
    </row>
    <row r="374" spans="1:12" s="40" customFormat="1" ht="24" outlineLevel="1" x14ac:dyDescent="0.2">
      <c r="A374" s="35" t="s">
        <v>240</v>
      </c>
      <c r="B374" s="148">
        <v>42522</v>
      </c>
      <c r="C374" s="147">
        <v>43313</v>
      </c>
      <c r="D374" s="96">
        <v>45</v>
      </c>
      <c r="E374" s="100">
        <v>6161.53</v>
      </c>
      <c r="F374" s="100">
        <v>17004.03</v>
      </c>
      <c r="G374" s="22"/>
      <c r="H374" s="87">
        <f t="shared" si="42"/>
        <v>23165.559999999998</v>
      </c>
      <c r="I374" s="77">
        <f t="shared" si="43"/>
        <v>23165.559999999998</v>
      </c>
      <c r="J374" s="128"/>
      <c r="K374" s="108"/>
      <c r="L374" s="155"/>
    </row>
    <row r="375" spans="1:12" s="40" customFormat="1" outlineLevel="1" x14ac:dyDescent="0.2">
      <c r="A375" s="35" t="s">
        <v>595</v>
      </c>
      <c r="B375" s="148">
        <v>43190</v>
      </c>
      <c r="C375" s="147">
        <v>43250</v>
      </c>
      <c r="D375" s="96">
        <v>90</v>
      </c>
      <c r="E375" s="100"/>
      <c r="F375" s="100">
        <v>14090.93</v>
      </c>
      <c r="G375" s="22"/>
      <c r="H375" s="87">
        <f t="shared" si="42"/>
        <v>14090.93</v>
      </c>
      <c r="I375" s="77">
        <f t="shared" si="43"/>
        <v>14090.93</v>
      </c>
      <c r="J375" s="128"/>
      <c r="K375" s="108"/>
      <c r="L375" s="155"/>
    </row>
    <row r="376" spans="1:12" s="40" customFormat="1" ht="24" outlineLevel="1" x14ac:dyDescent="0.2">
      <c r="A376" s="35" t="s">
        <v>596</v>
      </c>
      <c r="B376" s="148">
        <v>43131</v>
      </c>
      <c r="C376" s="147">
        <v>43250</v>
      </c>
      <c r="D376" s="96">
        <v>90</v>
      </c>
      <c r="E376" s="100"/>
      <c r="F376" s="100">
        <v>4262.5200000000004</v>
      </c>
      <c r="G376" s="22"/>
      <c r="H376" s="87">
        <f t="shared" si="42"/>
        <v>4262.5200000000004</v>
      </c>
      <c r="I376" s="77">
        <f t="shared" si="43"/>
        <v>4262.5200000000004</v>
      </c>
      <c r="J376" s="128"/>
      <c r="K376" s="108"/>
      <c r="L376" s="155"/>
    </row>
    <row r="377" spans="1:12" s="40" customFormat="1" ht="24" outlineLevel="1" x14ac:dyDescent="0.2">
      <c r="A377" s="35" t="s">
        <v>340</v>
      </c>
      <c r="B377" s="148">
        <v>43069</v>
      </c>
      <c r="C377" s="147">
        <v>43434</v>
      </c>
      <c r="D377" s="96">
        <v>20</v>
      </c>
      <c r="E377" s="100">
        <v>35000</v>
      </c>
      <c r="F377" s="100"/>
      <c r="G377" s="22"/>
      <c r="H377" s="87">
        <f t="shared" si="42"/>
        <v>35000</v>
      </c>
      <c r="I377" s="77">
        <f t="shared" si="43"/>
        <v>35000</v>
      </c>
      <c r="J377" s="128"/>
      <c r="K377" s="108"/>
      <c r="L377" s="155"/>
    </row>
    <row r="378" spans="1:12" ht="24" outlineLevel="1" x14ac:dyDescent="0.2">
      <c r="A378" s="35" t="s">
        <v>244</v>
      </c>
      <c r="B378" s="148">
        <v>43070</v>
      </c>
      <c r="C378" s="147">
        <v>43435</v>
      </c>
      <c r="D378" s="96">
        <v>45</v>
      </c>
      <c r="E378" s="100"/>
      <c r="F378" s="100">
        <v>6061.63</v>
      </c>
      <c r="G378" s="22"/>
      <c r="H378" s="87">
        <f t="shared" si="42"/>
        <v>6061.63</v>
      </c>
      <c r="I378" s="77">
        <f t="shared" si="43"/>
        <v>6061.63</v>
      </c>
      <c r="J378" s="128"/>
      <c r="K378" s="108"/>
      <c r="L378" s="155"/>
    </row>
    <row r="379" spans="1:12" s="7" customFormat="1" ht="31.5" customHeight="1" outlineLevel="1" x14ac:dyDescent="0.2">
      <c r="A379" s="35" t="s">
        <v>597</v>
      </c>
      <c r="B379" s="148">
        <v>43131</v>
      </c>
      <c r="C379" s="147">
        <v>43403</v>
      </c>
      <c r="D379" s="96">
        <v>45</v>
      </c>
      <c r="E379" s="100"/>
      <c r="F379" s="100">
        <v>590.22</v>
      </c>
      <c r="G379" s="22"/>
      <c r="H379" s="87">
        <f t="shared" si="42"/>
        <v>590.22</v>
      </c>
      <c r="I379" s="77">
        <f t="shared" si="43"/>
        <v>590.22</v>
      </c>
      <c r="J379" s="128"/>
      <c r="K379" s="108"/>
      <c r="L379" s="155"/>
    </row>
    <row r="380" spans="1:12" s="7" customFormat="1" ht="31.5" customHeight="1" outlineLevel="1" x14ac:dyDescent="0.2">
      <c r="A380" s="35" t="s">
        <v>273</v>
      </c>
      <c r="B380" s="148">
        <v>43006</v>
      </c>
      <c r="C380" s="147">
        <v>43250</v>
      </c>
      <c r="D380" s="96">
        <v>90</v>
      </c>
      <c r="E380" s="100">
        <v>43500</v>
      </c>
      <c r="F380" s="100">
        <v>15040.04</v>
      </c>
      <c r="G380" s="22"/>
      <c r="H380" s="87">
        <f t="shared" si="42"/>
        <v>58540.04</v>
      </c>
      <c r="I380" s="77">
        <f t="shared" si="43"/>
        <v>58540.04</v>
      </c>
      <c r="J380" s="128"/>
      <c r="K380" s="108"/>
      <c r="L380" s="163"/>
    </row>
    <row r="381" spans="1:12" s="24" customFormat="1" ht="23.25" customHeight="1" outlineLevel="1" x14ac:dyDescent="0.2">
      <c r="A381" s="35" t="s">
        <v>598</v>
      </c>
      <c r="B381" s="147">
        <v>43069</v>
      </c>
      <c r="C381" s="147">
        <v>43434</v>
      </c>
      <c r="D381" s="96">
        <v>20</v>
      </c>
      <c r="E381" s="100">
        <v>22600</v>
      </c>
      <c r="F381" s="22"/>
      <c r="G381" s="22"/>
      <c r="H381" s="87">
        <f t="shared" si="42"/>
        <v>22600</v>
      </c>
      <c r="I381" s="77">
        <f t="shared" si="43"/>
        <v>22600</v>
      </c>
      <c r="J381" s="128"/>
      <c r="K381" s="108"/>
      <c r="L381" s="163"/>
    </row>
    <row r="382" spans="1:12" s="24" customFormat="1" ht="23.25" customHeight="1" outlineLevel="1" x14ac:dyDescent="0.2">
      <c r="A382" s="35" t="s">
        <v>245</v>
      </c>
      <c r="B382" s="148">
        <v>42459</v>
      </c>
      <c r="C382" s="147">
        <v>43434</v>
      </c>
      <c r="D382" s="96">
        <v>45</v>
      </c>
      <c r="E382" s="100"/>
      <c r="F382" s="100">
        <v>14717.52</v>
      </c>
      <c r="G382" s="22"/>
      <c r="H382" s="87">
        <f t="shared" si="42"/>
        <v>14717.52</v>
      </c>
      <c r="I382" s="77">
        <f t="shared" si="43"/>
        <v>14717.52</v>
      </c>
      <c r="J382" s="128"/>
      <c r="K382" s="108"/>
      <c r="L382" s="110"/>
    </row>
    <row r="383" spans="1:12" s="24" customFormat="1" ht="23.25" customHeight="1" outlineLevel="1" x14ac:dyDescent="0.2">
      <c r="A383" s="35" t="s">
        <v>246</v>
      </c>
      <c r="B383" s="148">
        <v>42979</v>
      </c>
      <c r="C383" s="147">
        <v>43344</v>
      </c>
      <c r="D383" s="96">
        <v>45</v>
      </c>
      <c r="E383" s="100">
        <v>6000</v>
      </c>
      <c r="F383" s="100">
        <v>11952.41</v>
      </c>
      <c r="G383" s="22"/>
      <c r="H383" s="87">
        <f t="shared" si="42"/>
        <v>17952.41</v>
      </c>
      <c r="I383" s="77">
        <f t="shared" si="43"/>
        <v>17952.41</v>
      </c>
      <c r="J383" s="128"/>
      <c r="K383" s="108"/>
      <c r="L383" s="110"/>
    </row>
    <row r="384" spans="1:12" s="7" customFormat="1" ht="31.5" customHeight="1" outlineLevel="1" x14ac:dyDescent="0.2">
      <c r="A384" s="35" t="s">
        <v>241</v>
      </c>
      <c r="B384" s="148">
        <v>42979</v>
      </c>
      <c r="C384" s="147">
        <v>43344</v>
      </c>
      <c r="D384" s="96">
        <v>45</v>
      </c>
      <c r="E384" s="100"/>
      <c r="F384" s="100">
        <v>6811.49</v>
      </c>
      <c r="G384" s="22"/>
      <c r="H384" s="87">
        <f t="shared" si="42"/>
        <v>6811.49</v>
      </c>
      <c r="I384" s="77">
        <f t="shared" si="43"/>
        <v>6811.49</v>
      </c>
      <c r="J384" s="128"/>
      <c r="K384" s="108"/>
      <c r="L384" s="110"/>
    </row>
    <row r="385" spans="1:12" ht="27.75" customHeight="1" outlineLevel="1" x14ac:dyDescent="0.2">
      <c r="A385" s="35" t="s">
        <v>247</v>
      </c>
      <c r="B385" s="148">
        <v>42776</v>
      </c>
      <c r="C385" s="147">
        <v>43322</v>
      </c>
      <c r="D385" s="96">
        <v>45</v>
      </c>
      <c r="E385" s="100">
        <v>8500</v>
      </c>
      <c r="F385" s="100">
        <v>102517.4</v>
      </c>
      <c r="G385" s="22"/>
      <c r="H385" s="87">
        <f t="shared" si="42"/>
        <v>111017.4</v>
      </c>
      <c r="I385" s="77">
        <f t="shared" si="43"/>
        <v>111017.4</v>
      </c>
      <c r="J385" s="128"/>
      <c r="K385" s="108"/>
      <c r="L385" s="163"/>
    </row>
    <row r="386" spans="1:12" outlineLevel="1" x14ac:dyDescent="0.2">
      <c r="A386" s="35" t="s">
        <v>341</v>
      </c>
      <c r="B386" s="148">
        <v>43070</v>
      </c>
      <c r="C386" s="147">
        <v>43435</v>
      </c>
      <c r="D386" s="96">
        <v>20</v>
      </c>
      <c r="E386" s="100">
        <v>8799.99</v>
      </c>
      <c r="F386" s="100">
        <v>0.01</v>
      </c>
      <c r="G386" s="22"/>
      <c r="H386" s="87">
        <f t="shared" si="42"/>
        <v>8800</v>
      </c>
      <c r="I386" s="77">
        <f t="shared" si="43"/>
        <v>8800</v>
      </c>
      <c r="J386" s="128"/>
      <c r="K386" s="108"/>
      <c r="L386" s="155"/>
    </row>
    <row r="387" spans="1:12" outlineLevel="1" x14ac:dyDescent="0.2">
      <c r="A387" s="35" t="s">
        <v>248</v>
      </c>
      <c r="B387" s="148">
        <v>42823</v>
      </c>
      <c r="C387" s="147">
        <v>43341</v>
      </c>
      <c r="D387" s="96">
        <v>20</v>
      </c>
      <c r="E387" s="100">
        <v>9500</v>
      </c>
      <c r="F387" s="100"/>
      <c r="G387" s="22"/>
      <c r="H387" s="87">
        <f t="shared" si="42"/>
        <v>9500</v>
      </c>
      <c r="I387" s="77">
        <f t="shared" si="43"/>
        <v>9500</v>
      </c>
      <c r="J387" s="128"/>
      <c r="K387" s="108"/>
      <c r="L387" s="155"/>
    </row>
    <row r="388" spans="1:12" ht="36" outlineLevel="1" x14ac:dyDescent="0.2">
      <c r="A388" s="35" t="s">
        <v>249</v>
      </c>
      <c r="B388" s="148">
        <v>42767</v>
      </c>
      <c r="C388" s="147">
        <v>43342</v>
      </c>
      <c r="D388" s="96">
        <v>45</v>
      </c>
      <c r="E388" s="100">
        <v>5000</v>
      </c>
      <c r="F388" s="100">
        <v>6948.9</v>
      </c>
      <c r="G388" s="22"/>
      <c r="H388" s="87">
        <f t="shared" si="42"/>
        <v>11948.9</v>
      </c>
      <c r="I388" s="77">
        <f t="shared" si="43"/>
        <v>11948.9</v>
      </c>
      <c r="J388" s="128"/>
      <c r="K388" s="108"/>
      <c r="L388" s="155"/>
    </row>
    <row r="389" spans="1:12" ht="24" outlineLevel="1" x14ac:dyDescent="0.2">
      <c r="A389" s="35" t="s">
        <v>250</v>
      </c>
      <c r="B389" s="148">
        <v>42859</v>
      </c>
      <c r="C389" s="147">
        <v>43224</v>
      </c>
      <c r="D389" s="96">
        <v>45</v>
      </c>
      <c r="E389" s="100">
        <v>27661.53</v>
      </c>
      <c r="F389" s="100">
        <v>51687.94</v>
      </c>
      <c r="G389" s="22"/>
      <c r="H389" s="87">
        <f t="shared" si="42"/>
        <v>79349.47</v>
      </c>
      <c r="I389" s="77">
        <f t="shared" si="43"/>
        <v>79349.47</v>
      </c>
      <c r="J389" s="128"/>
      <c r="K389" s="108"/>
      <c r="L389" s="155"/>
    </row>
    <row r="390" spans="1:12" ht="24" outlineLevel="1" x14ac:dyDescent="0.2">
      <c r="A390" s="35" t="s">
        <v>599</v>
      </c>
      <c r="B390" s="148">
        <v>42583</v>
      </c>
      <c r="C390" s="147">
        <v>43342</v>
      </c>
      <c r="D390" s="96">
        <v>20</v>
      </c>
      <c r="E390" s="100">
        <v>140000</v>
      </c>
      <c r="F390" s="100"/>
      <c r="G390" s="22"/>
      <c r="H390" s="87">
        <f t="shared" si="42"/>
        <v>140000</v>
      </c>
      <c r="I390" s="77">
        <f t="shared" si="43"/>
        <v>140000</v>
      </c>
      <c r="J390" s="128"/>
      <c r="K390" s="108"/>
      <c r="L390" s="155"/>
    </row>
    <row r="391" spans="1:12" outlineLevel="1" x14ac:dyDescent="0.2">
      <c r="A391" s="35" t="s">
        <v>371</v>
      </c>
      <c r="B391" s="148">
        <v>43013</v>
      </c>
      <c r="C391" s="147">
        <v>43378</v>
      </c>
      <c r="D391" s="96">
        <v>20</v>
      </c>
      <c r="E391" s="100">
        <v>6500</v>
      </c>
      <c r="F391" s="100"/>
      <c r="G391" s="22"/>
      <c r="H391" s="87">
        <f t="shared" si="42"/>
        <v>6500</v>
      </c>
      <c r="I391" s="77">
        <f t="shared" si="43"/>
        <v>6500</v>
      </c>
      <c r="J391" s="128"/>
      <c r="K391" s="108"/>
      <c r="L391" s="155"/>
    </row>
    <row r="392" spans="1:12" ht="24" outlineLevel="1" x14ac:dyDescent="0.2">
      <c r="A392" s="35" t="s">
        <v>251</v>
      </c>
      <c r="B392" s="148">
        <v>42823</v>
      </c>
      <c r="C392" s="147">
        <v>43341</v>
      </c>
      <c r="D392" s="96">
        <v>45</v>
      </c>
      <c r="E392" s="100">
        <v>28661.53</v>
      </c>
      <c r="F392" s="100">
        <v>24673.33</v>
      </c>
      <c r="G392" s="22"/>
      <c r="H392" s="87">
        <f t="shared" si="42"/>
        <v>53334.86</v>
      </c>
      <c r="I392" s="77">
        <f t="shared" si="43"/>
        <v>53334.86</v>
      </c>
      <c r="J392" s="128"/>
      <c r="K392" s="108"/>
      <c r="L392" s="155"/>
    </row>
    <row r="393" spans="1:12" ht="24" outlineLevel="1" x14ac:dyDescent="0.2">
      <c r="A393" s="35" t="s">
        <v>372</v>
      </c>
      <c r="B393" s="148">
        <v>43074</v>
      </c>
      <c r="C393" s="147">
        <v>43439</v>
      </c>
      <c r="D393" s="96">
        <v>20</v>
      </c>
      <c r="E393" s="100">
        <v>45000</v>
      </c>
      <c r="F393" s="100"/>
      <c r="G393" s="22"/>
      <c r="H393" s="87">
        <f t="shared" si="42"/>
        <v>45000</v>
      </c>
      <c r="I393" s="77">
        <f t="shared" si="43"/>
        <v>45000</v>
      </c>
      <c r="J393" s="128"/>
      <c r="K393" s="108"/>
      <c r="L393" s="155"/>
    </row>
    <row r="394" spans="1:12" outlineLevel="1" x14ac:dyDescent="0.2">
      <c r="A394" s="35" t="s">
        <v>252</v>
      </c>
      <c r="B394" s="148">
        <v>42558</v>
      </c>
      <c r="C394" s="147">
        <v>43380</v>
      </c>
      <c r="D394" s="96">
        <v>30</v>
      </c>
      <c r="E394" s="100">
        <v>40000</v>
      </c>
      <c r="F394" s="100">
        <v>107057.05</v>
      </c>
      <c r="G394" s="22"/>
      <c r="H394" s="87">
        <f t="shared" si="42"/>
        <v>147057.04999999999</v>
      </c>
      <c r="I394" s="77">
        <f t="shared" si="43"/>
        <v>147057.04999999999</v>
      </c>
      <c r="J394" s="128"/>
      <c r="K394" s="108"/>
      <c r="L394" s="155"/>
    </row>
    <row r="395" spans="1:12" ht="24" outlineLevel="1" x14ac:dyDescent="0.2">
      <c r="A395" s="35" t="s">
        <v>373</v>
      </c>
      <c r="B395" s="148">
        <v>43081</v>
      </c>
      <c r="C395" s="147">
        <v>43263</v>
      </c>
      <c r="D395" s="96">
        <v>5</v>
      </c>
      <c r="E395" s="100">
        <v>85100</v>
      </c>
      <c r="F395" s="100"/>
      <c r="G395" s="22"/>
      <c r="H395" s="87">
        <f t="shared" si="42"/>
        <v>85100</v>
      </c>
      <c r="I395" s="77">
        <f t="shared" si="43"/>
        <v>85100</v>
      </c>
      <c r="J395" s="128"/>
      <c r="K395" s="108"/>
      <c r="L395" s="155"/>
    </row>
    <row r="396" spans="1:12" ht="24" outlineLevel="1" x14ac:dyDescent="0.2">
      <c r="A396" s="35" t="s">
        <v>253</v>
      </c>
      <c r="B396" s="148">
        <v>42461</v>
      </c>
      <c r="C396" s="147">
        <v>43344</v>
      </c>
      <c r="D396" s="96">
        <v>45</v>
      </c>
      <c r="E396" s="100"/>
      <c r="F396" s="100">
        <v>6372.21</v>
      </c>
      <c r="G396" s="22"/>
      <c r="H396" s="87">
        <f t="shared" si="42"/>
        <v>6372.21</v>
      </c>
      <c r="I396" s="77">
        <f t="shared" si="43"/>
        <v>6372.21</v>
      </c>
      <c r="J396" s="128"/>
      <c r="K396" s="108"/>
      <c r="L396" s="155"/>
    </row>
    <row r="397" spans="1:12" ht="24" outlineLevel="1" x14ac:dyDescent="0.2">
      <c r="A397" s="35" t="s">
        <v>374</v>
      </c>
      <c r="B397" s="148">
        <v>42494</v>
      </c>
      <c r="C397" s="147">
        <v>43344</v>
      </c>
      <c r="D397" s="96">
        <v>40</v>
      </c>
      <c r="E397" s="100">
        <v>9184.61</v>
      </c>
      <c r="F397" s="100">
        <v>49965.1</v>
      </c>
      <c r="G397" s="22"/>
      <c r="H397" s="87">
        <f t="shared" si="42"/>
        <v>59149.71</v>
      </c>
      <c r="I397" s="77">
        <f t="shared" si="43"/>
        <v>59149.71</v>
      </c>
      <c r="J397" s="128"/>
      <c r="K397" s="108"/>
      <c r="L397" s="155"/>
    </row>
    <row r="398" spans="1:12" outlineLevel="1" x14ac:dyDescent="0.2">
      <c r="A398" s="35" t="s">
        <v>375</v>
      </c>
      <c r="B398" s="148">
        <v>43039</v>
      </c>
      <c r="C398" s="147">
        <v>43404</v>
      </c>
      <c r="D398" s="96">
        <v>20</v>
      </c>
      <c r="E398" s="100">
        <v>50000</v>
      </c>
      <c r="F398" s="100"/>
      <c r="G398" s="22"/>
      <c r="H398" s="87">
        <f t="shared" si="42"/>
        <v>50000</v>
      </c>
      <c r="I398" s="77">
        <f t="shared" si="43"/>
        <v>50000</v>
      </c>
      <c r="J398" s="128"/>
      <c r="K398" s="108"/>
      <c r="L398" s="155"/>
    </row>
    <row r="399" spans="1:12" outlineLevel="1" x14ac:dyDescent="0.2">
      <c r="A399" s="35" t="s">
        <v>254</v>
      </c>
      <c r="B399" s="148">
        <v>42917</v>
      </c>
      <c r="C399" s="147">
        <v>43282</v>
      </c>
      <c r="D399" s="96">
        <v>45</v>
      </c>
      <c r="E399" s="100">
        <v>7000</v>
      </c>
      <c r="F399" s="100">
        <v>7190.11</v>
      </c>
      <c r="G399" s="22"/>
      <c r="H399" s="87">
        <f t="shared" si="42"/>
        <v>14190.11</v>
      </c>
      <c r="I399" s="77">
        <f t="shared" si="43"/>
        <v>14190.11</v>
      </c>
      <c r="J399" s="128"/>
      <c r="K399" s="108"/>
      <c r="L399" s="155"/>
    </row>
    <row r="400" spans="1:12" ht="24" outlineLevel="1" x14ac:dyDescent="0.2">
      <c r="A400" s="35" t="s">
        <v>600</v>
      </c>
      <c r="B400" s="147">
        <v>43159</v>
      </c>
      <c r="C400" s="147">
        <v>43432</v>
      </c>
      <c r="D400" s="96">
        <v>40</v>
      </c>
      <c r="E400" s="22"/>
      <c r="F400" s="100">
        <v>73035.94</v>
      </c>
      <c r="G400" s="22"/>
      <c r="H400" s="87">
        <f t="shared" si="42"/>
        <v>73035.94</v>
      </c>
      <c r="I400" s="77">
        <f t="shared" si="43"/>
        <v>73035.94</v>
      </c>
      <c r="J400" s="128"/>
      <c r="K400" s="108"/>
      <c r="L400" s="155"/>
    </row>
    <row r="401" spans="1:12" ht="24" outlineLevel="1" x14ac:dyDescent="0.2">
      <c r="A401" s="35" t="s">
        <v>376</v>
      </c>
      <c r="B401" s="148">
        <v>43069</v>
      </c>
      <c r="C401" s="147">
        <v>43434</v>
      </c>
      <c r="D401" s="96">
        <v>45</v>
      </c>
      <c r="E401" s="100"/>
      <c r="F401" s="100">
        <v>5649.15</v>
      </c>
      <c r="G401" s="22"/>
      <c r="H401" s="87">
        <f t="shared" si="42"/>
        <v>5649.15</v>
      </c>
      <c r="I401" s="77">
        <f t="shared" si="43"/>
        <v>5649.15</v>
      </c>
      <c r="J401" s="128"/>
      <c r="K401" s="108"/>
      <c r="L401" s="155"/>
    </row>
    <row r="402" spans="1:12" ht="24" outlineLevel="1" x14ac:dyDescent="0.2">
      <c r="A402" s="35" t="s">
        <v>274</v>
      </c>
      <c r="B402" s="148">
        <v>42736</v>
      </c>
      <c r="C402" s="147">
        <v>43403</v>
      </c>
      <c r="D402" s="96">
        <v>40</v>
      </c>
      <c r="E402" s="100">
        <v>103161.53</v>
      </c>
      <c r="F402" s="100">
        <v>315939.58</v>
      </c>
      <c r="G402" s="22"/>
      <c r="H402" s="87">
        <f t="shared" si="42"/>
        <v>419101.11</v>
      </c>
      <c r="I402" s="77">
        <f t="shared" si="43"/>
        <v>419101.11</v>
      </c>
      <c r="J402" s="128"/>
      <c r="K402" s="108"/>
      <c r="L402" s="155"/>
    </row>
    <row r="403" spans="1:12" ht="24" outlineLevel="1" x14ac:dyDescent="0.2">
      <c r="A403" s="35" t="s">
        <v>255</v>
      </c>
      <c r="B403" s="148">
        <v>42767</v>
      </c>
      <c r="C403" s="147">
        <v>43403</v>
      </c>
      <c r="D403" s="96">
        <v>30</v>
      </c>
      <c r="E403" s="100">
        <v>12500</v>
      </c>
      <c r="F403" s="100">
        <v>17826.32</v>
      </c>
      <c r="G403" s="22"/>
      <c r="H403" s="87">
        <f t="shared" si="42"/>
        <v>30326.32</v>
      </c>
      <c r="I403" s="77">
        <f t="shared" si="43"/>
        <v>30326.32</v>
      </c>
      <c r="J403" s="128"/>
      <c r="K403" s="108"/>
      <c r="L403" s="155"/>
    </row>
    <row r="404" spans="1:12" x14ac:dyDescent="0.2">
      <c r="A404" s="32"/>
      <c r="B404" s="147"/>
      <c r="C404" s="147"/>
      <c r="D404" s="96"/>
      <c r="E404" s="100">
        <f>SUM(E292:E403)</f>
        <v>1518394.7100000002</v>
      </c>
      <c r="F404" s="100">
        <f>SUM(F292:F403)</f>
        <v>1561856.1740000001</v>
      </c>
      <c r="G404" s="100">
        <f>SUM(G292:G297)</f>
        <v>0</v>
      </c>
      <c r="H404" s="87">
        <f>SUM(H292:H403)</f>
        <v>3080250.8839999987</v>
      </c>
      <c r="I404" s="87">
        <f>SUM(I292:I403)</f>
        <v>3080250.8839999987</v>
      </c>
      <c r="J404" s="86"/>
      <c r="K404" s="109"/>
      <c r="L404" s="155"/>
    </row>
    <row r="405" spans="1:12" x14ac:dyDescent="0.2">
      <c r="A405" s="37"/>
      <c r="B405" s="148"/>
      <c r="C405" s="147"/>
      <c r="D405" s="96"/>
      <c r="E405" s="22"/>
      <c r="F405" s="22"/>
      <c r="G405" s="22"/>
      <c r="H405" s="87"/>
      <c r="I405" s="77"/>
      <c r="J405" s="31"/>
      <c r="K405" s="30"/>
      <c r="L405" s="155"/>
    </row>
    <row r="406" spans="1:12" ht="24" x14ac:dyDescent="0.2">
      <c r="A406" s="37" t="s">
        <v>606</v>
      </c>
      <c r="B406" s="148"/>
      <c r="C406" s="147"/>
      <c r="D406" s="96"/>
      <c r="E406" s="22"/>
      <c r="F406" s="22"/>
      <c r="G406" s="22"/>
      <c r="H406" s="87"/>
      <c r="I406" s="77"/>
      <c r="J406" s="31"/>
      <c r="K406" s="30"/>
      <c r="L406" s="155"/>
    </row>
    <row r="407" spans="1:12" outlineLevel="1" x14ac:dyDescent="0.2">
      <c r="A407" s="90" t="s">
        <v>461</v>
      </c>
      <c r="B407" s="147">
        <v>43160</v>
      </c>
      <c r="C407" s="148">
        <v>43465</v>
      </c>
      <c r="D407" s="101">
        <v>15</v>
      </c>
      <c r="E407" s="103">
        <v>8848</v>
      </c>
      <c r="F407" s="103">
        <v>5505</v>
      </c>
      <c r="G407" s="22"/>
      <c r="H407" s="52">
        <f>E407+F407</f>
        <v>14353</v>
      </c>
      <c r="I407" s="77">
        <f>E407+F407</f>
        <v>14353</v>
      </c>
      <c r="J407" s="62"/>
      <c r="K407" s="62"/>
      <c r="L407" s="155"/>
    </row>
    <row r="408" spans="1:12" outlineLevel="1" x14ac:dyDescent="0.2">
      <c r="A408" s="90" t="s">
        <v>462</v>
      </c>
      <c r="B408" s="147">
        <v>43160</v>
      </c>
      <c r="C408" s="148">
        <v>43465</v>
      </c>
      <c r="D408" s="101">
        <v>15</v>
      </c>
      <c r="E408" s="103">
        <v>63841.52</v>
      </c>
      <c r="F408" s="104"/>
      <c r="G408" s="22"/>
      <c r="H408" s="52">
        <f t="shared" ref="H408:H435" si="44">E408+F408</f>
        <v>63841.52</v>
      </c>
      <c r="I408" s="77">
        <f t="shared" ref="I408:I435" si="45">E408+F408</f>
        <v>63841.52</v>
      </c>
      <c r="J408" s="62"/>
      <c r="K408" s="62"/>
      <c r="L408" s="155"/>
    </row>
    <row r="409" spans="1:12" outlineLevel="1" x14ac:dyDescent="0.2">
      <c r="A409" s="89" t="s">
        <v>607</v>
      </c>
      <c r="B409" s="147">
        <v>43160</v>
      </c>
      <c r="C409" s="148">
        <v>43465</v>
      </c>
      <c r="D409" s="101">
        <v>20</v>
      </c>
      <c r="E409" s="22"/>
      <c r="F409" s="103">
        <v>9175</v>
      </c>
      <c r="G409" s="22"/>
      <c r="H409" s="52">
        <f t="shared" si="44"/>
        <v>9175</v>
      </c>
      <c r="I409" s="77">
        <f t="shared" si="45"/>
        <v>9175</v>
      </c>
      <c r="J409" s="62"/>
      <c r="K409" s="62"/>
      <c r="L409" s="155"/>
    </row>
    <row r="410" spans="1:12" ht="24" outlineLevel="1" x14ac:dyDescent="0.2">
      <c r="A410" s="89" t="s">
        <v>608</v>
      </c>
      <c r="B410" s="147">
        <v>43160</v>
      </c>
      <c r="C410" s="148">
        <v>43465</v>
      </c>
      <c r="D410" s="101">
        <v>50</v>
      </c>
      <c r="E410" s="103">
        <v>147481.32999999999</v>
      </c>
      <c r="F410" s="103">
        <v>9175</v>
      </c>
      <c r="G410" s="22"/>
      <c r="H410" s="52">
        <f t="shared" si="44"/>
        <v>156656.32999999999</v>
      </c>
      <c r="I410" s="77">
        <f t="shared" si="45"/>
        <v>156656.32999999999</v>
      </c>
      <c r="J410" s="62"/>
      <c r="K410" s="62"/>
      <c r="L410" s="155"/>
    </row>
    <row r="411" spans="1:12" ht="26.25" customHeight="1" outlineLevel="1" x14ac:dyDescent="0.2">
      <c r="A411" s="89" t="s">
        <v>463</v>
      </c>
      <c r="B411" s="147">
        <v>43160</v>
      </c>
      <c r="C411" s="148">
        <v>43465</v>
      </c>
      <c r="D411" s="101">
        <v>50</v>
      </c>
      <c r="E411" s="103">
        <v>13247</v>
      </c>
      <c r="F411" s="103">
        <v>23169.78</v>
      </c>
      <c r="G411" s="22"/>
      <c r="H411" s="52">
        <f t="shared" si="44"/>
        <v>36416.78</v>
      </c>
      <c r="I411" s="77">
        <f t="shared" si="45"/>
        <v>36416.78</v>
      </c>
      <c r="J411" s="62"/>
      <c r="K411" s="62"/>
      <c r="L411" s="155"/>
    </row>
    <row r="412" spans="1:12" ht="23.25" customHeight="1" outlineLevel="1" x14ac:dyDescent="0.2">
      <c r="A412" s="89" t="s">
        <v>609</v>
      </c>
      <c r="B412" s="147">
        <v>43160</v>
      </c>
      <c r="C412" s="148">
        <v>43465</v>
      </c>
      <c r="D412" s="101">
        <v>50</v>
      </c>
      <c r="E412" s="103">
        <v>39443.69</v>
      </c>
      <c r="F412" s="104"/>
      <c r="G412" s="22"/>
      <c r="H412" s="52">
        <f t="shared" si="44"/>
        <v>39443.69</v>
      </c>
      <c r="I412" s="77">
        <f t="shared" si="45"/>
        <v>39443.69</v>
      </c>
      <c r="J412" s="62"/>
      <c r="K412" s="62"/>
      <c r="L412" s="155"/>
    </row>
    <row r="413" spans="1:12" outlineLevel="1" x14ac:dyDescent="0.2">
      <c r="A413" s="89" t="s">
        <v>610</v>
      </c>
      <c r="B413" s="147">
        <v>43160</v>
      </c>
      <c r="C413" s="148">
        <v>43465</v>
      </c>
      <c r="D413" s="101">
        <v>50</v>
      </c>
      <c r="E413" s="103">
        <v>13056.26</v>
      </c>
      <c r="F413" s="104"/>
      <c r="G413" s="22"/>
      <c r="H413" s="52">
        <f t="shared" si="44"/>
        <v>13056.26</v>
      </c>
      <c r="I413" s="77">
        <f t="shared" si="45"/>
        <v>13056.26</v>
      </c>
      <c r="J413" s="62"/>
      <c r="K413" s="62"/>
      <c r="L413" s="155"/>
    </row>
    <row r="414" spans="1:12" outlineLevel="1" x14ac:dyDescent="0.2">
      <c r="A414" s="89" t="s">
        <v>611</v>
      </c>
      <c r="B414" s="147">
        <v>43160</v>
      </c>
      <c r="C414" s="148">
        <v>43465</v>
      </c>
      <c r="D414" s="101">
        <v>50</v>
      </c>
      <c r="E414" s="103">
        <v>17159.95</v>
      </c>
      <c r="F414" s="104"/>
      <c r="G414" s="22"/>
      <c r="H414" s="52">
        <f t="shared" si="44"/>
        <v>17159.95</v>
      </c>
      <c r="I414" s="77">
        <f t="shared" si="45"/>
        <v>17159.95</v>
      </c>
      <c r="J414" s="62"/>
      <c r="K414" s="62"/>
      <c r="L414" s="155"/>
    </row>
    <row r="415" spans="1:12" ht="24" outlineLevel="1" x14ac:dyDescent="0.2">
      <c r="A415" s="89" t="s">
        <v>464</v>
      </c>
      <c r="B415" s="147">
        <v>43160</v>
      </c>
      <c r="C415" s="148">
        <v>43465</v>
      </c>
      <c r="D415" s="101">
        <v>50</v>
      </c>
      <c r="E415" s="103">
        <v>1816055</v>
      </c>
      <c r="F415" s="103">
        <v>286864.36</v>
      </c>
      <c r="G415" s="22"/>
      <c r="H415" s="52">
        <f t="shared" si="44"/>
        <v>2102919.36</v>
      </c>
      <c r="I415" s="77">
        <f t="shared" si="45"/>
        <v>2102919.36</v>
      </c>
      <c r="J415" s="62"/>
      <c r="K415" s="62"/>
      <c r="L415" s="155"/>
    </row>
    <row r="416" spans="1:12" ht="30" customHeight="1" outlineLevel="1" x14ac:dyDescent="0.2">
      <c r="A416" s="89" t="s">
        <v>465</v>
      </c>
      <c r="B416" s="147">
        <v>43160</v>
      </c>
      <c r="C416" s="148">
        <v>43465</v>
      </c>
      <c r="D416" s="101">
        <v>50</v>
      </c>
      <c r="E416" s="103">
        <v>86331.47</v>
      </c>
      <c r="F416" s="104"/>
      <c r="G416" s="22"/>
      <c r="H416" s="52">
        <f t="shared" si="44"/>
        <v>86331.47</v>
      </c>
      <c r="I416" s="77">
        <f t="shared" si="45"/>
        <v>86331.47</v>
      </c>
      <c r="J416" s="62"/>
      <c r="K416" s="62"/>
      <c r="L416" s="155"/>
    </row>
    <row r="417" spans="1:12" ht="27.75" customHeight="1" outlineLevel="1" x14ac:dyDescent="0.2">
      <c r="A417" s="89" t="s">
        <v>466</v>
      </c>
      <c r="B417" s="147">
        <v>43160</v>
      </c>
      <c r="C417" s="148">
        <v>43465</v>
      </c>
      <c r="D417" s="101">
        <v>50</v>
      </c>
      <c r="E417" s="103">
        <v>2778.93</v>
      </c>
      <c r="F417" s="104"/>
      <c r="G417" s="22"/>
      <c r="H417" s="52">
        <f t="shared" si="44"/>
        <v>2778.93</v>
      </c>
      <c r="I417" s="77">
        <f t="shared" si="45"/>
        <v>2778.93</v>
      </c>
      <c r="J417" s="62"/>
      <c r="K417" s="62"/>
      <c r="L417" s="155"/>
    </row>
    <row r="418" spans="1:12" ht="32.25" customHeight="1" outlineLevel="1" x14ac:dyDescent="0.2">
      <c r="A418" s="89" t="s">
        <v>467</v>
      </c>
      <c r="B418" s="147">
        <v>43160</v>
      </c>
      <c r="C418" s="148">
        <v>43465</v>
      </c>
      <c r="D418" s="101">
        <v>50</v>
      </c>
      <c r="E418" s="103">
        <v>6525</v>
      </c>
      <c r="F418" s="104"/>
      <c r="G418" s="22"/>
      <c r="H418" s="52">
        <f t="shared" si="44"/>
        <v>6525</v>
      </c>
      <c r="I418" s="77">
        <f t="shared" si="45"/>
        <v>6525</v>
      </c>
      <c r="J418" s="62"/>
      <c r="K418" s="62"/>
      <c r="L418" s="155"/>
    </row>
    <row r="419" spans="1:12" ht="24" outlineLevel="1" x14ac:dyDescent="0.2">
      <c r="A419" s="89" t="s">
        <v>468</v>
      </c>
      <c r="B419" s="147">
        <v>43160</v>
      </c>
      <c r="C419" s="148">
        <v>43465</v>
      </c>
      <c r="D419" s="101">
        <v>50</v>
      </c>
      <c r="E419" s="103">
        <v>2216.66</v>
      </c>
      <c r="F419" s="104"/>
      <c r="G419" s="22"/>
      <c r="H419" s="52">
        <f t="shared" si="44"/>
        <v>2216.66</v>
      </c>
      <c r="I419" s="77">
        <f t="shared" si="45"/>
        <v>2216.66</v>
      </c>
      <c r="J419" s="62"/>
      <c r="K419" s="62"/>
      <c r="L419" s="155"/>
    </row>
    <row r="420" spans="1:12" ht="36.75" customHeight="1" outlineLevel="1" x14ac:dyDescent="0.2">
      <c r="A420" s="89" t="s">
        <v>469</v>
      </c>
      <c r="B420" s="147">
        <v>43160</v>
      </c>
      <c r="C420" s="148">
        <v>43465</v>
      </c>
      <c r="D420" s="101">
        <v>50</v>
      </c>
      <c r="E420" s="103">
        <v>23526.42</v>
      </c>
      <c r="F420" s="104"/>
      <c r="G420" s="22"/>
      <c r="H420" s="52">
        <f t="shared" si="44"/>
        <v>23526.42</v>
      </c>
      <c r="I420" s="77">
        <f t="shared" si="45"/>
        <v>23526.42</v>
      </c>
      <c r="J420" s="62"/>
      <c r="K420" s="62"/>
      <c r="L420" s="155"/>
    </row>
    <row r="421" spans="1:12" ht="24" outlineLevel="1" x14ac:dyDescent="0.2">
      <c r="A421" s="89" t="s">
        <v>470</v>
      </c>
      <c r="B421" s="147">
        <v>43160</v>
      </c>
      <c r="C421" s="148">
        <v>43465</v>
      </c>
      <c r="D421" s="101">
        <v>50</v>
      </c>
      <c r="E421" s="103">
        <v>12986</v>
      </c>
      <c r="F421" s="104"/>
      <c r="G421" s="22"/>
      <c r="H421" s="52">
        <f t="shared" si="44"/>
        <v>12986</v>
      </c>
      <c r="I421" s="77">
        <f t="shared" si="45"/>
        <v>12986</v>
      </c>
      <c r="J421" s="62"/>
      <c r="K421" s="62"/>
      <c r="L421" s="155"/>
    </row>
    <row r="422" spans="1:12" ht="36" outlineLevel="1" x14ac:dyDescent="0.2">
      <c r="A422" s="89" t="s">
        <v>471</v>
      </c>
      <c r="B422" s="147">
        <v>43160</v>
      </c>
      <c r="C422" s="148">
        <v>43465</v>
      </c>
      <c r="D422" s="101">
        <v>50</v>
      </c>
      <c r="E422" s="103">
        <v>60548.21</v>
      </c>
      <c r="F422" s="104"/>
      <c r="G422" s="22"/>
      <c r="H422" s="52">
        <f t="shared" si="44"/>
        <v>60548.21</v>
      </c>
      <c r="I422" s="77">
        <f t="shared" si="45"/>
        <v>60548.21</v>
      </c>
      <c r="J422" s="62"/>
      <c r="K422" s="62"/>
      <c r="L422" s="155"/>
    </row>
    <row r="423" spans="1:12" outlineLevel="1" x14ac:dyDescent="0.2">
      <c r="A423" s="89" t="s">
        <v>472</v>
      </c>
      <c r="B423" s="147">
        <v>43160</v>
      </c>
      <c r="C423" s="148">
        <v>43465</v>
      </c>
      <c r="D423" s="101">
        <v>50</v>
      </c>
      <c r="E423" s="103">
        <v>11534.01</v>
      </c>
      <c r="F423" s="104"/>
      <c r="G423" s="22"/>
      <c r="H423" s="52">
        <f t="shared" si="44"/>
        <v>11534.01</v>
      </c>
      <c r="I423" s="77">
        <f t="shared" si="45"/>
        <v>11534.01</v>
      </c>
      <c r="J423" s="62"/>
      <c r="K423" s="62"/>
      <c r="L423" s="155"/>
    </row>
    <row r="424" spans="1:12" ht="24" outlineLevel="1" x14ac:dyDescent="0.2">
      <c r="A424" s="89" t="s">
        <v>473</v>
      </c>
      <c r="B424" s="147">
        <v>43160</v>
      </c>
      <c r="C424" s="148">
        <v>43465</v>
      </c>
      <c r="D424" s="101">
        <v>50</v>
      </c>
      <c r="E424" s="103">
        <v>13050</v>
      </c>
      <c r="F424" s="104"/>
      <c r="G424" s="22"/>
      <c r="H424" s="52">
        <f t="shared" si="44"/>
        <v>13050</v>
      </c>
      <c r="I424" s="77">
        <f t="shared" si="45"/>
        <v>13050</v>
      </c>
      <c r="J424" s="62"/>
      <c r="K424" s="62"/>
      <c r="L424" s="155"/>
    </row>
    <row r="425" spans="1:12" outlineLevel="1" x14ac:dyDescent="0.2">
      <c r="A425" s="89" t="s">
        <v>474</v>
      </c>
      <c r="B425" s="147">
        <v>43160</v>
      </c>
      <c r="C425" s="148">
        <v>43465</v>
      </c>
      <c r="D425" s="101">
        <v>50</v>
      </c>
      <c r="E425" s="103">
        <v>25509.22</v>
      </c>
      <c r="F425" s="104"/>
      <c r="G425" s="22"/>
      <c r="H425" s="52">
        <f t="shared" si="44"/>
        <v>25509.22</v>
      </c>
      <c r="I425" s="77">
        <f t="shared" si="45"/>
        <v>25509.22</v>
      </c>
      <c r="J425" s="62"/>
      <c r="K425" s="62"/>
      <c r="L425" s="155"/>
    </row>
    <row r="426" spans="1:12" outlineLevel="1" x14ac:dyDescent="0.2">
      <c r="A426" s="89" t="s">
        <v>612</v>
      </c>
      <c r="B426" s="147">
        <v>43160</v>
      </c>
      <c r="C426" s="148">
        <v>43465</v>
      </c>
      <c r="D426" s="101">
        <v>50</v>
      </c>
      <c r="E426" s="103">
        <v>135663.28</v>
      </c>
      <c r="F426" s="103">
        <v>20494</v>
      </c>
      <c r="G426" s="22"/>
      <c r="H426" s="52">
        <f t="shared" si="44"/>
        <v>156157.28</v>
      </c>
      <c r="I426" s="77">
        <f t="shared" si="45"/>
        <v>156157.28</v>
      </c>
      <c r="J426" s="62"/>
      <c r="K426" s="62"/>
      <c r="L426" s="155"/>
    </row>
    <row r="427" spans="1:12" outlineLevel="1" x14ac:dyDescent="0.2">
      <c r="A427" s="89" t="s">
        <v>475</v>
      </c>
      <c r="B427" s="147">
        <v>43160</v>
      </c>
      <c r="C427" s="148">
        <v>43465</v>
      </c>
      <c r="D427" s="101">
        <v>50</v>
      </c>
      <c r="E427" s="103">
        <v>148651.41</v>
      </c>
      <c r="F427" s="104"/>
      <c r="G427" s="22"/>
      <c r="H427" s="52">
        <f t="shared" si="44"/>
        <v>148651.41</v>
      </c>
      <c r="I427" s="77">
        <f t="shared" si="45"/>
        <v>148651.41</v>
      </c>
      <c r="J427" s="62"/>
      <c r="K427" s="62"/>
      <c r="L427" s="155"/>
    </row>
    <row r="428" spans="1:12" outlineLevel="1" x14ac:dyDescent="0.2">
      <c r="A428" s="89" t="s">
        <v>613</v>
      </c>
      <c r="B428" s="147">
        <v>43160</v>
      </c>
      <c r="C428" s="148">
        <v>43465</v>
      </c>
      <c r="D428" s="101">
        <v>50</v>
      </c>
      <c r="E428" s="103">
        <v>11233</v>
      </c>
      <c r="F428" s="104"/>
      <c r="G428" s="22"/>
      <c r="H428" s="52">
        <f t="shared" si="44"/>
        <v>11233</v>
      </c>
      <c r="I428" s="77">
        <f t="shared" si="45"/>
        <v>11233</v>
      </c>
      <c r="J428" s="62"/>
      <c r="K428" s="62"/>
      <c r="L428" s="155"/>
    </row>
    <row r="429" spans="1:12" ht="24" outlineLevel="1" x14ac:dyDescent="0.2">
      <c r="A429" s="89" t="s">
        <v>614</v>
      </c>
      <c r="B429" s="147">
        <v>43160</v>
      </c>
      <c r="C429" s="148">
        <v>43465</v>
      </c>
      <c r="D429" s="101">
        <v>50</v>
      </c>
      <c r="E429" s="103">
        <v>143289.74</v>
      </c>
      <c r="F429" s="103">
        <v>161016.95000000001</v>
      </c>
      <c r="G429" s="22"/>
      <c r="H429" s="52">
        <f t="shared" si="44"/>
        <v>304306.69</v>
      </c>
      <c r="I429" s="77">
        <f t="shared" si="45"/>
        <v>304306.69</v>
      </c>
      <c r="J429" s="62"/>
      <c r="K429" s="62"/>
      <c r="L429" s="155"/>
    </row>
    <row r="430" spans="1:12" ht="24" outlineLevel="1" x14ac:dyDescent="0.2">
      <c r="A430" s="89" t="s">
        <v>615</v>
      </c>
      <c r="B430" s="147">
        <v>43160</v>
      </c>
      <c r="C430" s="148">
        <v>43465</v>
      </c>
      <c r="D430" s="101">
        <v>50</v>
      </c>
      <c r="E430" s="103">
        <v>940408.38</v>
      </c>
      <c r="F430" s="104"/>
      <c r="G430" s="22"/>
      <c r="H430" s="52">
        <f t="shared" si="44"/>
        <v>940408.38</v>
      </c>
      <c r="I430" s="77">
        <f t="shared" si="45"/>
        <v>940408.38</v>
      </c>
      <c r="J430" s="62"/>
      <c r="K430" s="62"/>
      <c r="L430" s="155"/>
    </row>
    <row r="431" spans="1:12" ht="24" outlineLevel="1" x14ac:dyDescent="0.2">
      <c r="A431" s="89" t="s">
        <v>616</v>
      </c>
      <c r="B431" s="147">
        <v>43160</v>
      </c>
      <c r="C431" s="148">
        <v>43465</v>
      </c>
      <c r="D431" s="101">
        <v>50</v>
      </c>
      <c r="E431" s="103">
        <v>5200.59</v>
      </c>
      <c r="F431" s="104"/>
      <c r="G431" s="22"/>
      <c r="H431" s="52">
        <f t="shared" si="44"/>
        <v>5200.59</v>
      </c>
      <c r="I431" s="77">
        <f t="shared" si="45"/>
        <v>5200.59</v>
      </c>
      <c r="J431" s="62"/>
      <c r="K431" s="62"/>
      <c r="L431" s="155"/>
    </row>
    <row r="432" spans="1:12" ht="24" outlineLevel="1" x14ac:dyDescent="0.2">
      <c r="A432" s="89" t="s">
        <v>476</v>
      </c>
      <c r="B432" s="147">
        <v>43160</v>
      </c>
      <c r="C432" s="148">
        <v>43465</v>
      </c>
      <c r="D432" s="101">
        <v>50</v>
      </c>
      <c r="E432" s="103">
        <v>7993.99</v>
      </c>
      <c r="F432" s="104"/>
      <c r="G432" s="22"/>
      <c r="H432" s="52">
        <f t="shared" si="44"/>
        <v>7993.99</v>
      </c>
      <c r="I432" s="77">
        <f t="shared" si="45"/>
        <v>7993.99</v>
      </c>
      <c r="J432" s="62"/>
      <c r="K432" s="62"/>
      <c r="L432" s="155"/>
    </row>
    <row r="433" spans="1:12" ht="24" outlineLevel="1" x14ac:dyDescent="0.2">
      <c r="A433" s="89" t="s">
        <v>617</v>
      </c>
      <c r="B433" s="147">
        <v>43160</v>
      </c>
      <c r="C433" s="148">
        <v>43465</v>
      </c>
      <c r="D433" s="101">
        <v>50</v>
      </c>
      <c r="E433" s="103">
        <v>96977.53</v>
      </c>
      <c r="F433" s="104"/>
      <c r="G433" s="22"/>
      <c r="H433" s="52">
        <f t="shared" si="44"/>
        <v>96977.53</v>
      </c>
      <c r="I433" s="77">
        <f t="shared" si="45"/>
        <v>96977.53</v>
      </c>
      <c r="J433" s="62"/>
      <c r="K433" s="62"/>
      <c r="L433" s="155"/>
    </row>
    <row r="434" spans="1:12" ht="24" outlineLevel="1" x14ac:dyDescent="0.2">
      <c r="A434" s="89" t="s">
        <v>618</v>
      </c>
      <c r="B434" s="147">
        <v>43160</v>
      </c>
      <c r="C434" s="148">
        <v>43465</v>
      </c>
      <c r="D434" s="101">
        <v>50</v>
      </c>
      <c r="E434" s="103">
        <v>55827.78</v>
      </c>
      <c r="F434" s="104"/>
      <c r="G434" s="22"/>
      <c r="H434" s="52">
        <f t="shared" si="44"/>
        <v>55827.78</v>
      </c>
      <c r="I434" s="77">
        <f t="shared" si="45"/>
        <v>55827.78</v>
      </c>
      <c r="J434" s="62"/>
      <c r="K434" s="62"/>
      <c r="L434" s="155"/>
    </row>
    <row r="435" spans="1:12" ht="24" outlineLevel="1" x14ac:dyDescent="0.2">
      <c r="A435" s="89" t="s">
        <v>477</v>
      </c>
      <c r="B435" s="147">
        <v>43160</v>
      </c>
      <c r="C435" s="148">
        <v>43465</v>
      </c>
      <c r="D435" s="101">
        <v>50</v>
      </c>
      <c r="E435" s="103">
        <v>16045.4</v>
      </c>
      <c r="F435" s="104"/>
      <c r="G435" s="22"/>
      <c r="H435" s="52">
        <f t="shared" si="44"/>
        <v>16045.4</v>
      </c>
      <c r="I435" s="77">
        <f t="shared" si="45"/>
        <v>16045.4</v>
      </c>
      <c r="J435" s="62"/>
      <c r="K435" s="62"/>
      <c r="L435" s="155"/>
    </row>
    <row r="436" spans="1:12" x14ac:dyDescent="0.2">
      <c r="A436" s="91"/>
      <c r="B436" s="147"/>
      <c r="C436" s="147"/>
      <c r="D436" s="96"/>
      <c r="E436" s="100">
        <f>SUM(E405:E435)</f>
        <v>3925429.77</v>
      </c>
      <c r="F436" s="100">
        <f>SUM(F405:F435)</f>
        <v>515400.09</v>
      </c>
      <c r="G436" s="100">
        <f>SUM(G405:G435)</f>
        <v>0</v>
      </c>
      <c r="H436" s="87">
        <f>SUM(H405:H435)</f>
        <v>4440829.8600000013</v>
      </c>
      <c r="I436" s="87">
        <f>SUM(I405:I435)</f>
        <v>4440829.8600000013</v>
      </c>
      <c r="J436" s="117"/>
      <c r="K436" s="64"/>
      <c r="L436" s="155"/>
    </row>
    <row r="437" spans="1:12" x14ac:dyDescent="0.2">
      <c r="A437" s="35"/>
      <c r="B437" s="148"/>
      <c r="C437" s="147"/>
      <c r="D437" s="96"/>
      <c r="E437" s="22"/>
      <c r="F437" s="22"/>
      <c r="G437" s="22"/>
      <c r="H437" s="87"/>
      <c r="I437" s="77"/>
      <c r="J437" s="129"/>
      <c r="K437" s="30"/>
      <c r="L437" s="155"/>
    </row>
    <row r="438" spans="1:12" ht="24" x14ac:dyDescent="0.2">
      <c r="A438" s="66" t="s">
        <v>619</v>
      </c>
      <c r="B438" s="147"/>
      <c r="C438" s="148"/>
      <c r="D438" s="101"/>
      <c r="E438" s="104"/>
      <c r="F438" s="104"/>
      <c r="G438" s="22"/>
      <c r="H438" s="52"/>
      <c r="I438" s="77"/>
      <c r="J438" s="22"/>
      <c r="K438" s="65"/>
      <c r="L438" s="155"/>
    </row>
    <row r="439" spans="1:12" outlineLevel="1" x14ac:dyDescent="0.2">
      <c r="A439" s="67" t="s">
        <v>622</v>
      </c>
      <c r="B439" s="147">
        <v>43160</v>
      </c>
      <c r="C439" s="148">
        <v>43404</v>
      </c>
      <c r="D439" s="101">
        <v>10</v>
      </c>
      <c r="E439" s="104">
        <v>0</v>
      </c>
      <c r="F439" s="104">
        <v>20570</v>
      </c>
      <c r="G439" s="22"/>
      <c r="H439" s="52">
        <v>20570</v>
      </c>
      <c r="I439" s="77">
        <v>20570</v>
      </c>
      <c r="J439" s="62"/>
      <c r="K439" s="62"/>
      <c r="L439" s="155"/>
    </row>
    <row r="440" spans="1:12" ht="24" outlineLevel="1" x14ac:dyDescent="0.2">
      <c r="A440" s="68" t="s">
        <v>623</v>
      </c>
      <c r="B440" s="147">
        <v>43132</v>
      </c>
      <c r="C440" s="147">
        <v>43404</v>
      </c>
      <c r="D440" s="96">
        <v>10</v>
      </c>
      <c r="E440" s="22">
        <v>0</v>
      </c>
      <c r="F440" s="22">
        <v>8521</v>
      </c>
      <c r="G440" s="22"/>
      <c r="H440" s="87">
        <v>8521</v>
      </c>
      <c r="I440" s="87">
        <v>8521</v>
      </c>
      <c r="J440" s="62"/>
      <c r="K440" s="62"/>
      <c r="L440" s="155"/>
    </row>
    <row r="441" spans="1:12" outlineLevel="1" x14ac:dyDescent="0.2">
      <c r="A441" s="69" t="s">
        <v>624</v>
      </c>
      <c r="B441" s="147">
        <v>43132</v>
      </c>
      <c r="C441" s="147">
        <v>43404</v>
      </c>
      <c r="D441" s="96">
        <v>10</v>
      </c>
      <c r="E441" s="22">
        <v>0</v>
      </c>
      <c r="F441" s="22">
        <v>8352</v>
      </c>
      <c r="G441" s="22"/>
      <c r="H441" s="87">
        <v>8352</v>
      </c>
      <c r="I441" s="87">
        <v>8352</v>
      </c>
      <c r="J441" s="62"/>
      <c r="K441" s="62"/>
      <c r="L441" s="155"/>
    </row>
    <row r="442" spans="1:12" ht="24" outlineLevel="1" x14ac:dyDescent="0.2">
      <c r="A442" s="68" t="s">
        <v>620</v>
      </c>
      <c r="B442" s="147">
        <v>43160</v>
      </c>
      <c r="C442" s="147">
        <v>43220</v>
      </c>
      <c r="D442" s="96">
        <v>50</v>
      </c>
      <c r="E442" s="22">
        <v>24000</v>
      </c>
      <c r="F442" s="22">
        <v>0</v>
      </c>
      <c r="G442" s="22"/>
      <c r="H442" s="87">
        <v>24000</v>
      </c>
      <c r="I442" s="87">
        <v>24000</v>
      </c>
      <c r="J442" s="62"/>
      <c r="K442" s="62"/>
      <c r="L442" s="155"/>
    </row>
    <row r="443" spans="1:12" outlineLevel="1" x14ac:dyDescent="0.2">
      <c r="A443" s="69" t="s">
        <v>625</v>
      </c>
      <c r="B443" s="147">
        <v>43132</v>
      </c>
      <c r="C443" s="147">
        <v>43434</v>
      </c>
      <c r="D443" s="96">
        <v>10</v>
      </c>
      <c r="E443" s="22">
        <v>0</v>
      </c>
      <c r="F443" s="22">
        <v>10284</v>
      </c>
      <c r="G443" s="22"/>
      <c r="H443" s="87">
        <v>10284</v>
      </c>
      <c r="I443" s="87">
        <v>10284</v>
      </c>
      <c r="J443" s="62"/>
      <c r="K443" s="62"/>
      <c r="L443" s="155"/>
    </row>
    <row r="444" spans="1:12" ht="24" outlineLevel="1" x14ac:dyDescent="0.2">
      <c r="A444" s="68" t="s">
        <v>621</v>
      </c>
      <c r="B444" s="147">
        <v>43132</v>
      </c>
      <c r="C444" s="147">
        <v>43434</v>
      </c>
      <c r="D444" s="96">
        <v>10</v>
      </c>
      <c r="E444" s="22">
        <v>0</v>
      </c>
      <c r="F444" s="22">
        <v>12635</v>
      </c>
      <c r="G444" s="22"/>
      <c r="H444" s="87">
        <v>12635</v>
      </c>
      <c r="I444" s="87">
        <v>12635</v>
      </c>
      <c r="J444" s="62"/>
      <c r="K444" s="62"/>
      <c r="L444" s="155"/>
    </row>
    <row r="445" spans="1:12" x14ac:dyDescent="0.2">
      <c r="A445" s="91"/>
      <c r="B445" s="147"/>
      <c r="C445" s="147"/>
      <c r="D445" s="96"/>
      <c r="E445" s="100">
        <f>SUM(E437:E444)</f>
        <v>24000</v>
      </c>
      <c r="F445" s="100">
        <f>SUM(F437:F444)</f>
        <v>60362</v>
      </c>
      <c r="G445" s="100">
        <f>SUM(G437:G444)</f>
        <v>0</v>
      </c>
      <c r="H445" s="87">
        <f>SUM(H437:H444)</f>
        <v>84362</v>
      </c>
      <c r="I445" s="87">
        <f>SUM(I437:I444)</f>
        <v>84362</v>
      </c>
      <c r="J445" s="117"/>
      <c r="K445" s="64"/>
      <c r="L445" s="155"/>
    </row>
    <row r="446" spans="1:12" x14ac:dyDescent="0.2">
      <c r="A446" s="35"/>
      <c r="B446" s="148"/>
      <c r="C446" s="147"/>
      <c r="D446" s="96"/>
      <c r="E446" s="22"/>
      <c r="F446" s="22"/>
      <c r="G446" s="22"/>
      <c r="H446" s="87"/>
      <c r="I446" s="77"/>
      <c r="J446" s="129"/>
      <c r="K446" s="30"/>
      <c r="L446" s="155"/>
    </row>
    <row r="447" spans="1:12" ht="26.25" customHeight="1" x14ac:dyDescent="0.2">
      <c r="A447" s="66" t="s">
        <v>626</v>
      </c>
      <c r="B447" s="147"/>
      <c r="C447" s="148"/>
      <c r="D447" s="101"/>
      <c r="E447" s="104"/>
      <c r="F447" s="104"/>
      <c r="G447" s="22"/>
      <c r="H447" s="52"/>
      <c r="I447" s="77"/>
      <c r="J447" s="22"/>
      <c r="K447" s="65"/>
      <c r="L447" s="155"/>
    </row>
    <row r="448" spans="1:12" ht="12.75" outlineLevel="1" x14ac:dyDescent="0.2">
      <c r="A448" s="70" t="s">
        <v>478</v>
      </c>
      <c r="B448" s="147">
        <v>43202</v>
      </c>
      <c r="C448" s="147">
        <v>43280</v>
      </c>
      <c r="D448" s="96">
        <v>20</v>
      </c>
      <c r="E448" s="22"/>
      <c r="F448" s="22">
        <v>4293.24</v>
      </c>
      <c r="G448" s="22"/>
      <c r="H448" s="87">
        <f>E448+F448+G448</f>
        <v>4293.24</v>
      </c>
      <c r="I448" s="87">
        <f>H448</f>
        <v>4293.24</v>
      </c>
      <c r="J448" s="62"/>
      <c r="K448" s="62"/>
      <c r="L448" s="155"/>
    </row>
    <row r="449" spans="1:12" ht="25.5" outlineLevel="1" x14ac:dyDescent="0.2">
      <c r="A449" s="70" t="s">
        <v>479</v>
      </c>
      <c r="B449" s="147">
        <v>43206</v>
      </c>
      <c r="C449" s="147">
        <v>43280</v>
      </c>
      <c r="D449" s="96">
        <v>20</v>
      </c>
      <c r="E449" s="22"/>
      <c r="F449" s="22">
        <v>4293.24</v>
      </c>
      <c r="G449" s="22"/>
      <c r="H449" s="87">
        <f t="shared" ref="H449:H454" si="46">E449+F449+G449</f>
        <v>4293.24</v>
      </c>
      <c r="I449" s="87">
        <f t="shared" ref="I449:I454" si="47">H449</f>
        <v>4293.24</v>
      </c>
      <c r="J449" s="62"/>
      <c r="K449" s="62"/>
      <c r="L449" s="155"/>
    </row>
    <row r="450" spans="1:12" ht="12.75" outlineLevel="1" x14ac:dyDescent="0.2">
      <c r="A450" s="70" t="s">
        <v>627</v>
      </c>
      <c r="B450" s="147">
        <v>43174</v>
      </c>
      <c r="C450" s="147">
        <v>43280</v>
      </c>
      <c r="D450" s="96">
        <v>90</v>
      </c>
      <c r="E450" s="22">
        <v>2146.63</v>
      </c>
      <c r="F450" s="22"/>
      <c r="G450" s="22"/>
      <c r="H450" s="87">
        <f t="shared" si="46"/>
        <v>2146.63</v>
      </c>
      <c r="I450" s="87">
        <f t="shared" si="47"/>
        <v>2146.63</v>
      </c>
      <c r="J450" s="62"/>
      <c r="K450" s="62"/>
      <c r="L450" s="155"/>
    </row>
    <row r="451" spans="1:12" ht="31.5" customHeight="1" outlineLevel="1" x14ac:dyDescent="0.2">
      <c r="A451" s="70" t="s">
        <v>480</v>
      </c>
      <c r="B451" s="147">
        <v>43157</v>
      </c>
      <c r="C451" s="147">
        <v>43251</v>
      </c>
      <c r="D451" s="96"/>
      <c r="E451" s="22"/>
      <c r="F451" s="22">
        <v>4293.24</v>
      </c>
      <c r="G451" s="22"/>
      <c r="H451" s="87">
        <f t="shared" si="46"/>
        <v>4293.24</v>
      </c>
      <c r="I451" s="87">
        <f t="shared" si="47"/>
        <v>4293.24</v>
      </c>
      <c r="J451" s="62"/>
      <c r="K451" s="62"/>
      <c r="L451" s="155"/>
    </row>
    <row r="452" spans="1:12" ht="41.25" customHeight="1" outlineLevel="1" x14ac:dyDescent="0.2">
      <c r="A452" s="70" t="s">
        <v>628</v>
      </c>
      <c r="B452" s="147">
        <v>43142</v>
      </c>
      <c r="C452" s="147">
        <v>43251</v>
      </c>
      <c r="D452" s="96">
        <v>90</v>
      </c>
      <c r="E452" s="22">
        <v>21794.240000000002</v>
      </c>
      <c r="F452" s="22"/>
      <c r="G452" s="22"/>
      <c r="H452" s="87">
        <f t="shared" si="46"/>
        <v>21794.240000000002</v>
      </c>
      <c r="I452" s="87">
        <f t="shared" si="47"/>
        <v>21794.240000000002</v>
      </c>
      <c r="J452" s="62"/>
      <c r="K452" s="62"/>
      <c r="L452" s="155"/>
    </row>
    <row r="453" spans="1:12" ht="12.75" outlineLevel="1" x14ac:dyDescent="0.2">
      <c r="A453" s="73" t="s">
        <v>481</v>
      </c>
      <c r="B453" s="147">
        <v>43010</v>
      </c>
      <c r="C453" s="147">
        <v>43465</v>
      </c>
      <c r="D453" s="96">
        <v>97</v>
      </c>
      <c r="E453" s="22"/>
      <c r="F453" s="22">
        <v>4293.24</v>
      </c>
      <c r="G453" s="22"/>
      <c r="H453" s="87">
        <f t="shared" si="46"/>
        <v>4293.24</v>
      </c>
      <c r="I453" s="87">
        <f t="shared" si="47"/>
        <v>4293.24</v>
      </c>
      <c r="J453" s="71"/>
      <c r="K453" s="71"/>
      <c r="L453" s="155"/>
    </row>
    <row r="454" spans="1:12" ht="12.75" outlineLevel="1" x14ac:dyDescent="0.2">
      <c r="A454" s="73" t="s">
        <v>491</v>
      </c>
      <c r="B454" s="147">
        <v>43200</v>
      </c>
      <c r="C454" s="147">
        <v>43280</v>
      </c>
      <c r="D454" s="96">
        <v>20</v>
      </c>
      <c r="E454" s="22"/>
      <c r="F454" s="22">
        <v>4293.24</v>
      </c>
      <c r="G454" s="22"/>
      <c r="H454" s="87">
        <f t="shared" si="46"/>
        <v>4293.24</v>
      </c>
      <c r="I454" s="87">
        <f t="shared" si="47"/>
        <v>4293.24</v>
      </c>
      <c r="J454" s="71"/>
      <c r="K454" s="71"/>
      <c r="L454" s="155"/>
    </row>
    <row r="455" spans="1:12" x14ac:dyDescent="0.2">
      <c r="A455" s="91"/>
      <c r="B455" s="147"/>
      <c r="C455" s="147"/>
      <c r="D455" s="96"/>
      <c r="E455" s="100">
        <f>SUM(E448:E454)</f>
        <v>23940.870000000003</v>
      </c>
      <c r="F455" s="100">
        <f>SUM(F446:F454)</f>
        <v>21466.199999999997</v>
      </c>
      <c r="G455" s="100">
        <f>SUM(G446:G452)</f>
        <v>0</v>
      </c>
      <c r="H455" s="87">
        <f>SUM(H446:H454)</f>
        <v>45407.07</v>
      </c>
      <c r="I455" s="87">
        <f>SUM(I446:I454)</f>
        <v>45407.07</v>
      </c>
      <c r="J455" s="117"/>
      <c r="K455" s="64"/>
      <c r="L455" s="155"/>
    </row>
    <row r="456" spans="1:12" ht="24" x14ac:dyDescent="0.2">
      <c r="A456" s="66" t="s">
        <v>629</v>
      </c>
      <c r="B456" s="148"/>
      <c r="C456" s="147"/>
      <c r="D456" s="96"/>
      <c r="E456" s="22"/>
      <c r="F456" s="22"/>
      <c r="G456" s="22"/>
      <c r="H456" s="87"/>
      <c r="I456" s="77"/>
      <c r="J456" s="84"/>
      <c r="K456" s="21"/>
      <c r="L456" s="155"/>
    </row>
    <row r="457" spans="1:12" s="24" customFormat="1" outlineLevel="1" x14ac:dyDescent="0.2">
      <c r="A457" s="35" t="s">
        <v>601</v>
      </c>
      <c r="B457" s="148">
        <v>42774</v>
      </c>
      <c r="C457" s="147">
        <v>43428</v>
      </c>
      <c r="D457" s="96">
        <v>40</v>
      </c>
      <c r="E457" s="22">
        <v>96821</v>
      </c>
      <c r="F457" s="22"/>
      <c r="G457" s="22"/>
      <c r="H457" s="87">
        <v>96821</v>
      </c>
      <c r="I457" s="77">
        <v>96821</v>
      </c>
      <c r="J457" s="31"/>
      <c r="K457" s="45"/>
      <c r="L457" s="155"/>
    </row>
    <row r="458" spans="1:12" outlineLevel="1" x14ac:dyDescent="0.2">
      <c r="A458" s="89" t="s">
        <v>602</v>
      </c>
      <c r="B458" s="148">
        <v>43132</v>
      </c>
      <c r="C458" s="147">
        <v>43281</v>
      </c>
      <c r="D458" s="96">
        <v>80</v>
      </c>
      <c r="E458" s="22">
        <v>3189.26</v>
      </c>
      <c r="F458" s="22">
        <v>30144.27</v>
      </c>
      <c r="G458" s="22"/>
      <c r="H458" s="87">
        <f>E458+F458+G458</f>
        <v>33333.53</v>
      </c>
      <c r="I458" s="77">
        <f>H458</f>
        <v>33333.53</v>
      </c>
      <c r="J458" s="31"/>
      <c r="K458" s="30"/>
      <c r="L458" s="155"/>
    </row>
    <row r="459" spans="1:12" ht="24" outlineLevel="1" x14ac:dyDescent="0.2">
      <c r="A459" s="89" t="s">
        <v>603</v>
      </c>
      <c r="B459" s="148">
        <v>43132</v>
      </c>
      <c r="C459" s="147">
        <v>43281</v>
      </c>
      <c r="D459" s="96">
        <v>80</v>
      </c>
      <c r="E459" s="22">
        <v>3189.26</v>
      </c>
      <c r="F459" s="22">
        <v>78542.37</v>
      </c>
      <c r="G459" s="22"/>
      <c r="H459" s="87">
        <f>E459+F459+G459</f>
        <v>81731.62999999999</v>
      </c>
      <c r="I459" s="77">
        <f t="shared" ref="I459:I472" si="48">H459</f>
        <v>81731.62999999999</v>
      </c>
      <c r="J459" s="31"/>
      <c r="K459" s="30"/>
      <c r="L459" s="155"/>
    </row>
    <row r="460" spans="1:12" ht="36" outlineLevel="1" x14ac:dyDescent="0.2">
      <c r="A460" s="35" t="s">
        <v>604</v>
      </c>
      <c r="B460" s="148">
        <v>42156</v>
      </c>
      <c r="C460" s="147">
        <v>43220</v>
      </c>
      <c r="D460" s="96">
        <v>70</v>
      </c>
      <c r="E460" s="22">
        <v>0</v>
      </c>
      <c r="F460" s="22">
        <v>63352</v>
      </c>
      <c r="G460" s="22"/>
      <c r="H460" s="87">
        <f t="shared" ref="H460:H472" si="49">F460+E460+G460</f>
        <v>63352</v>
      </c>
      <c r="I460" s="77">
        <f t="shared" si="48"/>
        <v>63352</v>
      </c>
      <c r="J460" s="31"/>
      <c r="K460" s="30"/>
      <c r="L460" s="155"/>
    </row>
    <row r="461" spans="1:12" ht="24" outlineLevel="1" x14ac:dyDescent="0.2">
      <c r="A461" s="35" t="s">
        <v>377</v>
      </c>
      <c r="B461" s="148">
        <v>42948</v>
      </c>
      <c r="C461" s="147">
        <v>43281</v>
      </c>
      <c r="D461" s="96">
        <v>80</v>
      </c>
      <c r="E461" s="22">
        <v>3189.26</v>
      </c>
      <c r="F461" s="22">
        <v>33729.94</v>
      </c>
      <c r="G461" s="22"/>
      <c r="H461" s="87">
        <f t="shared" si="49"/>
        <v>36919.200000000004</v>
      </c>
      <c r="I461" s="77">
        <f t="shared" si="48"/>
        <v>36919.200000000004</v>
      </c>
      <c r="J461" s="31"/>
      <c r="K461" s="30"/>
      <c r="L461" s="155"/>
    </row>
    <row r="462" spans="1:12" ht="24" outlineLevel="1" x14ac:dyDescent="0.2">
      <c r="A462" s="35" t="s">
        <v>378</v>
      </c>
      <c r="B462" s="148">
        <v>42948</v>
      </c>
      <c r="C462" s="147">
        <v>43281</v>
      </c>
      <c r="D462" s="96">
        <v>90</v>
      </c>
      <c r="E462" s="22">
        <v>6378.52</v>
      </c>
      <c r="F462" s="22">
        <v>77682.19</v>
      </c>
      <c r="G462" s="22"/>
      <c r="H462" s="87">
        <f t="shared" si="49"/>
        <v>84060.71</v>
      </c>
      <c r="I462" s="77">
        <f t="shared" si="48"/>
        <v>84060.71</v>
      </c>
      <c r="J462" s="31"/>
      <c r="K462" s="30"/>
      <c r="L462" s="155"/>
    </row>
    <row r="463" spans="1:12" ht="24" outlineLevel="1" x14ac:dyDescent="0.2">
      <c r="A463" s="35" t="s">
        <v>379</v>
      </c>
      <c r="B463" s="148">
        <v>42766</v>
      </c>
      <c r="C463" s="147">
        <v>43281</v>
      </c>
      <c r="D463" s="96">
        <v>90</v>
      </c>
      <c r="E463" s="22">
        <v>5990.73</v>
      </c>
      <c r="F463" s="22">
        <v>28075.48</v>
      </c>
      <c r="G463" s="22"/>
      <c r="H463" s="87">
        <f t="shared" si="49"/>
        <v>34066.21</v>
      </c>
      <c r="I463" s="77">
        <f t="shared" si="48"/>
        <v>34066.21</v>
      </c>
      <c r="J463" s="31"/>
      <c r="K463" s="30"/>
      <c r="L463" s="155"/>
    </row>
    <row r="464" spans="1:12" ht="24" outlineLevel="1" x14ac:dyDescent="0.2">
      <c r="A464" s="35" t="s">
        <v>380</v>
      </c>
      <c r="B464" s="148">
        <v>42826</v>
      </c>
      <c r="C464" s="147">
        <v>43251</v>
      </c>
      <c r="D464" s="96">
        <v>90</v>
      </c>
      <c r="E464" s="22">
        <v>5990.73</v>
      </c>
      <c r="F464" s="22">
        <v>64518.71</v>
      </c>
      <c r="G464" s="22"/>
      <c r="H464" s="87">
        <f t="shared" si="49"/>
        <v>70509.440000000002</v>
      </c>
      <c r="I464" s="77">
        <f t="shared" si="48"/>
        <v>70509.440000000002</v>
      </c>
      <c r="J464" s="31"/>
      <c r="K464" s="30"/>
      <c r="L464" s="155"/>
    </row>
    <row r="465" spans="1:12" outlineLevel="1" x14ac:dyDescent="0.2">
      <c r="A465" s="35" t="s">
        <v>381</v>
      </c>
      <c r="B465" s="148">
        <v>42948</v>
      </c>
      <c r="C465" s="147">
        <v>43251</v>
      </c>
      <c r="D465" s="96">
        <v>90</v>
      </c>
      <c r="E465" s="22">
        <v>3189.26</v>
      </c>
      <c r="F465" s="22">
        <v>78239.42</v>
      </c>
      <c r="G465" s="22"/>
      <c r="H465" s="87">
        <f t="shared" si="49"/>
        <v>81428.679999999993</v>
      </c>
      <c r="I465" s="77">
        <f t="shared" si="48"/>
        <v>81428.679999999993</v>
      </c>
      <c r="J465" s="31"/>
      <c r="K465" s="30"/>
      <c r="L465" s="155"/>
    </row>
    <row r="466" spans="1:12" ht="24" outlineLevel="1" x14ac:dyDescent="0.2">
      <c r="A466" s="35" t="s">
        <v>382</v>
      </c>
      <c r="B466" s="148">
        <v>43009</v>
      </c>
      <c r="C466" s="147">
        <v>43251</v>
      </c>
      <c r="D466" s="96">
        <v>80</v>
      </c>
      <c r="E466" s="22">
        <v>49229.38</v>
      </c>
      <c r="F466" s="22">
        <v>605668.79</v>
      </c>
      <c r="G466" s="22"/>
      <c r="H466" s="87">
        <f t="shared" si="49"/>
        <v>654898.17000000004</v>
      </c>
      <c r="I466" s="77">
        <f t="shared" si="48"/>
        <v>654898.17000000004</v>
      </c>
      <c r="J466" s="31"/>
      <c r="K466" s="30"/>
      <c r="L466" s="155"/>
    </row>
    <row r="467" spans="1:12" ht="36" outlineLevel="1" x14ac:dyDescent="0.2">
      <c r="A467" s="35" t="s">
        <v>383</v>
      </c>
      <c r="B467" s="148">
        <v>43009</v>
      </c>
      <c r="C467" s="147">
        <v>43220</v>
      </c>
      <c r="D467" s="96">
        <v>90</v>
      </c>
      <c r="E467" s="22">
        <v>3189.26</v>
      </c>
      <c r="F467" s="22">
        <v>14601.36</v>
      </c>
      <c r="G467" s="22"/>
      <c r="H467" s="87">
        <f t="shared" si="49"/>
        <v>17790.620000000003</v>
      </c>
      <c r="I467" s="77">
        <f t="shared" si="48"/>
        <v>17790.620000000003</v>
      </c>
      <c r="J467" s="31"/>
      <c r="K467" s="30"/>
      <c r="L467" s="155"/>
    </row>
    <row r="468" spans="1:12" ht="36" outlineLevel="1" x14ac:dyDescent="0.2">
      <c r="A468" s="35" t="s">
        <v>605</v>
      </c>
      <c r="B468" s="148">
        <v>43132</v>
      </c>
      <c r="C468" s="147">
        <v>43281</v>
      </c>
      <c r="D468" s="96">
        <v>80</v>
      </c>
      <c r="E468" s="22">
        <v>3189.26</v>
      </c>
      <c r="F468" s="22">
        <v>32449.31</v>
      </c>
      <c r="G468" s="22"/>
      <c r="H468" s="87">
        <f t="shared" si="49"/>
        <v>35638.57</v>
      </c>
      <c r="I468" s="77">
        <f t="shared" si="48"/>
        <v>35638.57</v>
      </c>
      <c r="J468" s="31"/>
      <c r="K468" s="30"/>
      <c r="L468" s="155"/>
    </row>
    <row r="469" spans="1:12" ht="24" outlineLevel="1" x14ac:dyDescent="0.2">
      <c r="A469" s="35" t="s">
        <v>384</v>
      </c>
      <c r="B469" s="148">
        <v>43009</v>
      </c>
      <c r="C469" s="147">
        <v>43251</v>
      </c>
      <c r="D469" s="96">
        <v>80</v>
      </c>
      <c r="E469" s="22">
        <v>12757.04</v>
      </c>
      <c r="F469" s="22">
        <v>76473.919999999998</v>
      </c>
      <c r="G469" s="22"/>
      <c r="H469" s="87">
        <f t="shared" si="49"/>
        <v>89230.959999999992</v>
      </c>
      <c r="I469" s="77">
        <f t="shared" si="48"/>
        <v>89230.959999999992</v>
      </c>
      <c r="J469" s="31"/>
      <c r="K469" s="30"/>
      <c r="L469" s="155"/>
    </row>
    <row r="470" spans="1:12" ht="24" outlineLevel="1" x14ac:dyDescent="0.2">
      <c r="A470" s="35" t="s">
        <v>385</v>
      </c>
      <c r="B470" s="148">
        <v>43040</v>
      </c>
      <c r="C470" s="147">
        <v>43251</v>
      </c>
      <c r="D470" s="96">
        <v>90</v>
      </c>
      <c r="E470" s="22">
        <v>3189.26</v>
      </c>
      <c r="F470" s="22">
        <v>16209.58</v>
      </c>
      <c r="G470" s="22"/>
      <c r="H470" s="87">
        <f t="shared" si="49"/>
        <v>19398.84</v>
      </c>
      <c r="I470" s="77">
        <f t="shared" si="48"/>
        <v>19398.84</v>
      </c>
      <c r="J470" s="31"/>
      <c r="K470" s="30"/>
      <c r="L470" s="155"/>
    </row>
    <row r="471" spans="1:12" ht="24" outlineLevel="1" x14ac:dyDescent="0.2">
      <c r="A471" s="35" t="s">
        <v>386</v>
      </c>
      <c r="B471" s="148">
        <v>43040</v>
      </c>
      <c r="C471" s="147">
        <v>43251</v>
      </c>
      <c r="D471" s="96">
        <v>80</v>
      </c>
      <c r="E471" s="22">
        <v>6378.52</v>
      </c>
      <c r="F471" s="22">
        <v>96361.81</v>
      </c>
      <c r="G471" s="22"/>
      <c r="H471" s="87">
        <f t="shared" si="49"/>
        <v>102740.33</v>
      </c>
      <c r="I471" s="77">
        <f t="shared" si="48"/>
        <v>102740.33</v>
      </c>
      <c r="J471" s="31"/>
      <c r="K471" s="30"/>
      <c r="L471" s="155"/>
    </row>
    <row r="472" spans="1:12" ht="24" outlineLevel="1" x14ac:dyDescent="0.2">
      <c r="A472" s="35" t="s">
        <v>387</v>
      </c>
      <c r="B472" s="148">
        <v>43009</v>
      </c>
      <c r="C472" s="147">
        <v>43281</v>
      </c>
      <c r="D472" s="96">
        <v>80</v>
      </c>
      <c r="E472" s="22">
        <v>3189.26</v>
      </c>
      <c r="F472" s="22">
        <v>58694.29</v>
      </c>
      <c r="G472" s="22"/>
      <c r="H472" s="87">
        <f t="shared" si="49"/>
        <v>61883.55</v>
      </c>
      <c r="I472" s="77">
        <f t="shared" si="48"/>
        <v>61883.55</v>
      </c>
      <c r="J472" s="31"/>
      <c r="K472" s="30"/>
      <c r="L472" s="155"/>
    </row>
    <row r="473" spans="1:12" x14ac:dyDescent="0.2">
      <c r="A473" s="32"/>
      <c r="B473" s="147"/>
      <c r="C473" s="147"/>
      <c r="D473" s="96"/>
      <c r="E473" s="100">
        <f>SUM(E457:E472)</f>
        <v>209060</v>
      </c>
      <c r="F473" s="100">
        <f>SUM(F457:F472)</f>
        <v>1354743.4400000002</v>
      </c>
      <c r="G473" s="100">
        <f>SUM(G457:G472)</f>
        <v>0</v>
      </c>
      <c r="H473" s="87">
        <f>SUM(H457:H472)</f>
        <v>1563803.4400000004</v>
      </c>
      <c r="I473" s="87">
        <f>SUM(I457:I472)</f>
        <v>1563803.4400000004</v>
      </c>
      <c r="J473" s="85"/>
      <c r="K473" s="20"/>
      <c r="L473" s="155"/>
    </row>
    <row r="474" spans="1:12" x14ac:dyDescent="0.2">
      <c r="A474" s="35"/>
      <c r="B474" s="147"/>
      <c r="C474" s="148"/>
      <c r="D474" s="101"/>
      <c r="E474" s="103"/>
      <c r="F474" s="22"/>
      <c r="G474" s="22"/>
      <c r="H474" s="87"/>
      <c r="I474" s="77"/>
      <c r="J474" s="31"/>
      <c r="K474" s="41"/>
      <c r="L474" s="155"/>
    </row>
    <row r="475" spans="1:12" ht="24" x14ac:dyDescent="0.2">
      <c r="A475" s="66" t="s">
        <v>634</v>
      </c>
      <c r="B475" s="147"/>
      <c r="C475" s="147"/>
      <c r="D475" s="96"/>
      <c r="E475" s="100"/>
      <c r="F475" s="100"/>
      <c r="G475" s="100"/>
      <c r="H475" s="87"/>
      <c r="I475" s="87"/>
      <c r="J475" s="85"/>
      <c r="K475" s="43"/>
      <c r="L475" s="155"/>
    </row>
    <row r="476" spans="1:12" ht="24" outlineLevel="1" x14ac:dyDescent="0.2">
      <c r="A476" s="89" t="s">
        <v>630</v>
      </c>
      <c r="B476" s="147">
        <v>42961</v>
      </c>
      <c r="C476" s="148">
        <v>43320</v>
      </c>
      <c r="D476" s="101">
        <v>50</v>
      </c>
      <c r="E476" s="22">
        <v>5950</v>
      </c>
      <c r="F476" s="103"/>
      <c r="G476" s="103"/>
      <c r="H476" s="87">
        <f>E476+F476+G476</f>
        <v>5950</v>
      </c>
      <c r="I476" s="77">
        <f>H476</f>
        <v>5950</v>
      </c>
      <c r="J476" s="23"/>
      <c r="K476" s="23"/>
      <c r="L476" s="155"/>
    </row>
    <row r="477" spans="1:12" ht="96" outlineLevel="1" x14ac:dyDescent="0.2">
      <c r="A477" s="89" t="s">
        <v>631</v>
      </c>
      <c r="B477" s="148">
        <v>42744</v>
      </c>
      <c r="C477" s="148" t="s">
        <v>635</v>
      </c>
      <c r="D477" s="96"/>
      <c r="E477" s="22"/>
      <c r="F477" s="22">
        <v>56058.95</v>
      </c>
      <c r="G477" s="22"/>
      <c r="H477" s="87">
        <f t="shared" ref="H477:H480" si="50">E477+F477+G477</f>
        <v>56058.95</v>
      </c>
      <c r="I477" s="77">
        <f t="shared" ref="I477:I480" si="51">H477</f>
        <v>56058.95</v>
      </c>
      <c r="J477" s="31"/>
      <c r="K477" s="41"/>
      <c r="L477" s="155"/>
    </row>
    <row r="478" spans="1:12" ht="96" outlineLevel="1" x14ac:dyDescent="0.2">
      <c r="A478" s="89" t="s">
        <v>632</v>
      </c>
      <c r="B478" s="148">
        <v>42744</v>
      </c>
      <c r="C478" s="148" t="s">
        <v>635</v>
      </c>
      <c r="D478" s="96"/>
      <c r="E478" s="22"/>
      <c r="F478" s="22">
        <v>242329.2</v>
      </c>
      <c r="G478" s="22"/>
      <c r="H478" s="87">
        <f t="shared" si="50"/>
        <v>242329.2</v>
      </c>
      <c r="I478" s="77">
        <f t="shared" si="51"/>
        <v>242329.2</v>
      </c>
      <c r="J478" s="31"/>
      <c r="K478" s="41"/>
      <c r="L478" s="155"/>
    </row>
    <row r="479" spans="1:12" ht="96" outlineLevel="1" x14ac:dyDescent="0.2">
      <c r="A479" s="89" t="s">
        <v>633</v>
      </c>
      <c r="B479" s="148">
        <v>42744</v>
      </c>
      <c r="C479" s="148" t="s">
        <v>635</v>
      </c>
      <c r="D479" s="96"/>
      <c r="E479" s="100"/>
      <c r="F479" s="22">
        <v>159255.35999999999</v>
      </c>
      <c r="G479" s="100"/>
      <c r="H479" s="87">
        <f t="shared" si="50"/>
        <v>159255.35999999999</v>
      </c>
      <c r="I479" s="77">
        <f t="shared" si="51"/>
        <v>159255.35999999999</v>
      </c>
      <c r="J479" s="85"/>
      <c r="K479" s="43"/>
      <c r="L479" s="155"/>
    </row>
    <row r="480" spans="1:12" s="7" customFormat="1" ht="26.25" customHeight="1" x14ac:dyDescent="0.2">
      <c r="A480" s="42"/>
      <c r="B480" s="147"/>
      <c r="C480" s="148"/>
      <c r="D480" s="101"/>
      <c r="E480" s="100">
        <f>SUM(E476:E479)</f>
        <v>5950</v>
      </c>
      <c r="F480" s="100">
        <f t="shared" ref="F480:G480" si="52">SUM(F476:F479)</f>
        <v>457643.51</v>
      </c>
      <c r="G480" s="100">
        <f t="shared" si="52"/>
        <v>0</v>
      </c>
      <c r="H480" s="87">
        <f t="shared" si="50"/>
        <v>463593.51</v>
      </c>
      <c r="I480" s="77">
        <f t="shared" si="51"/>
        <v>463593.51</v>
      </c>
      <c r="J480" s="130"/>
      <c r="K480" s="6"/>
      <c r="L480" s="155"/>
    </row>
    <row r="481" spans="1:12" s="7" customFormat="1" ht="31.5" customHeight="1" x14ac:dyDescent="0.2">
      <c r="A481" s="66" t="s">
        <v>636</v>
      </c>
      <c r="B481" s="147"/>
      <c r="C481" s="148"/>
      <c r="D481" s="101"/>
      <c r="E481" s="104"/>
      <c r="F481" s="104"/>
      <c r="G481" s="22"/>
      <c r="H481" s="52"/>
      <c r="I481" s="77"/>
      <c r="J481" s="22"/>
      <c r="K481" s="65"/>
      <c r="L481" s="155"/>
    </row>
    <row r="482" spans="1:12" s="40" customFormat="1" ht="28.5" customHeight="1" outlineLevel="1" x14ac:dyDescent="0.2">
      <c r="A482" s="89" t="s">
        <v>637</v>
      </c>
      <c r="B482" s="148">
        <v>43101</v>
      </c>
      <c r="C482" s="147">
        <v>43448</v>
      </c>
      <c r="D482" s="96">
        <v>10</v>
      </c>
      <c r="E482" s="22"/>
      <c r="F482" s="22">
        <v>5989.15</v>
      </c>
      <c r="G482" s="22">
        <v>0</v>
      </c>
      <c r="H482" s="87">
        <f>E482+F482+G482</f>
        <v>5989.15</v>
      </c>
      <c r="I482" s="77">
        <v>5989.15</v>
      </c>
      <c r="J482" s="62"/>
      <c r="K482" s="62"/>
      <c r="L482" s="155"/>
    </row>
    <row r="483" spans="1:12" s="40" customFormat="1" ht="27" customHeight="1" outlineLevel="1" x14ac:dyDescent="0.2">
      <c r="A483" s="89" t="s">
        <v>156</v>
      </c>
      <c r="B483" s="148">
        <v>42948</v>
      </c>
      <c r="C483" s="147">
        <v>43284</v>
      </c>
      <c r="D483" s="96">
        <v>10</v>
      </c>
      <c r="E483" s="22"/>
      <c r="F483" s="22">
        <v>2483.17</v>
      </c>
      <c r="G483" s="22">
        <v>0</v>
      </c>
      <c r="H483" s="87">
        <f>E483+F483+G483</f>
        <v>2483.17</v>
      </c>
      <c r="I483" s="77">
        <v>2483.17</v>
      </c>
      <c r="J483" s="62"/>
      <c r="K483" s="62"/>
      <c r="L483" s="155"/>
    </row>
    <row r="484" spans="1:12" s="40" customFormat="1" ht="27.75" customHeight="1" outlineLevel="1" x14ac:dyDescent="0.2">
      <c r="A484" s="89" t="s">
        <v>638</v>
      </c>
      <c r="B484" s="148">
        <v>43160</v>
      </c>
      <c r="C484" s="147">
        <v>43585</v>
      </c>
      <c r="D484" s="96">
        <v>10</v>
      </c>
      <c r="E484" s="22"/>
      <c r="F484" s="22">
        <v>1733.63</v>
      </c>
      <c r="G484" s="22">
        <v>0</v>
      </c>
      <c r="H484" s="87">
        <f t="shared" ref="H484:H542" si="53">E484+F484+G484</f>
        <v>1733.63</v>
      </c>
      <c r="I484" s="77">
        <v>1733.63</v>
      </c>
      <c r="J484" s="62"/>
      <c r="K484" s="62"/>
      <c r="L484" s="155"/>
    </row>
    <row r="485" spans="1:12" s="40" customFormat="1" ht="26.25" customHeight="1" outlineLevel="1" x14ac:dyDescent="0.2">
      <c r="A485" s="89" t="s">
        <v>639</v>
      </c>
      <c r="B485" s="148">
        <v>43132</v>
      </c>
      <c r="C485" s="147">
        <v>43405</v>
      </c>
      <c r="D485" s="96">
        <v>10</v>
      </c>
      <c r="E485" s="22"/>
      <c r="F485" s="22">
        <v>1985.24</v>
      </c>
      <c r="G485" s="22">
        <v>0</v>
      </c>
      <c r="H485" s="87">
        <f t="shared" si="53"/>
        <v>1985.24</v>
      </c>
      <c r="I485" s="77">
        <v>1985.24</v>
      </c>
      <c r="J485" s="62"/>
      <c r="K485" s="62"/>
      <c r="L485" s="155"/>
    </row>
    <row r="486" spans="1:12" s="40" customFormat="1" ht="21" customHeight="1" outlineLevel="1" x14ac:dyDescent="0.2">
      <c r="A486" s="89" t="s">
        <v>388</v>
      </c>
      <c r="B486" s="148">
        <v>43040</v>
      </c>
      <c r="C486" s="147">
        <v>43348</v>
      </c>
      <c r="D486" s="96">
        <v>10</v>
      </c>
      <c r="E486" s="22"/>
      <c r="F486" s="22">
        <v>37033.49</v>
      </c>
      <c r="G486" s="22">
        <v>0</v>
      </c>
      <c r="H486" s="87">
        <f t="shared" si="53"/>
        <v>37033.49</v>
      </c>
      <c r="I486" s="77">
        <v>37033.49</v>
      </c>
      <c r="J486" s="62"/>
      <c r="K486" s="62"/>
      <c r="L486" s="155"/>
    </row>
    <row r="487" spans="1:12" s="40" customFormat="1" ht="16.5" customHeight="1" outlineLevel="1" x14ac:dyDescent="0.2">
      <c r="A487" s="89" t="s">
        <v>640</v>
      </c>
      <c r="B487" s="148">
        <v>43040</v>
      </c>
      <c r="C487" s="147">
        <v>43571</v>
      </c>
      <c r="D487" s="96">
        <v>70</v>
      </c>
      <c r="E487" s="22">
        <v>29213.67</v>
      </c>
      <c r="F487" s="22">
        <v>46806.239999999998</v>
      </c>
      <c r="G487" s="22">
        <v>0</v>
      </c>
      <c r="H487" s="87">
        <f t="shared" si="53"/>
        <v>76019.91</v>
      </c>
      <c r="I487" s="77">
        <v>76019.91</v>
      </c>
      <c r="J487" s="62"/>
      <c r="K487" s="62"/>
      <c r="L487" s="155"/>
    </row>
    <row r="488" spans="1:12" ht="24" outlineLevel="1" x14ac:dyDescent="0.2">
      <c r="A488" s="89" t="s">
        <v>641</v>
      </c>
      <c r="B488" s="148">
        <v>43160</v>
      </c>
      <c r="C488" s="147">
        <v>43349</v>
      </c>
      <c r="D488" s="96">
        <v>10</v>
      </c>
      <c r="E488" s="22"/>
      <c r="F488" s="22">
        <v>1733.63</v>
      </c>
      <c r="G488" s="22">
        <v>0</v>
      </c>
      <c r="H488" s="87">
        <f t="shared" si="53"/>
        <v>1733.63</v>
      </c>
      <c r="I488" s="77">
        <v>1733.63</v>
      </c>
      <c r="J488" s="62"/>
      <c r="K488" s="62"/>
      <c r="L488" s="155"/>
    </row>
    <row r="489" spans="1:12" s="44" customFormat="1" ht="24" outlineLevel="1" x14ac:dyDescent="0.2">
      <c r="A489" s="89" t="s">
        <v>642</v>
      </c>
      <c r="B489" s="148">
        <v>43160</v>
      </c>
      <c r="C489" s="147">
        <v>43393</v>
      </c>
      <c r="D489" s="96">
        <v>10</v>
      </c>
      <c r="E489" s="22"/>
      <c r="F489" s="22">
        <v>1733.63</v>
      </c>
      <c r="G489" s="22">
        <v>0</v>
      </c>
      <c r="H489" s="87">
        <f t="shared" si="53"/>
        <v>1733.63</v>
      </c>
      <c r="I489" s="77">
        <v>1733.63</v>
      </c>
      <c r="J489" s="62"/>
      <c r="K489" s="62"/>
      <c r="L489" s="155"/>
    </row>
    <row r="490" spans="1:12" s="44" customFormat="1" outlineLevel="1" x14ac:dyDescent="0.2">
      <c r="A490" s="89" t="s">
        <v>643</v>
      </c>
      <c r="B490" s="148">
        <v>43132</v>
      </c>
      <c r="C490" s="147">
        <v>43406</v>
      </c>
      <c r="D490" s="96">
        <v>10</v>
      </c>
      <c r="E490" s="22"/>
      <c r="F490" s="22">
        <v>1985.24</v>
      </c>
      <c r="G490" s="22">
        <v>0</v>
      </c>
      <c r="H490" s="87">
        <f t="shared" si="53"/>
        <v>1985.24</v>
      </c>
      <c r="I490" s="77">
        <v>1985.24</v>
      </c>
      <c r="J490" s="62"/>
      <c r="K490" s="62"/>
      <c r="L490" s="155"/>
    </row>
    <row r="491" spans="1:12" s="44" customFormat="1" ht="24" outlineLevel="1" x14ac:dyDescent="0.2">
      <c r="A491" s="89" t="s">
        <v>644</v>
      </c>
      <c r="B491" s="148">
        <v>43132</v>
      </c>
      <c r="C491" s="147">
        <v>43399</v>
      </c>
      <c r="D491" s="96">
        <v>10</v>
      </c>
      <c r="E491" s="22"/>
      <c r="F491" s="22">
        <v>1146.3599999999999</v>
      </c>
      <c r="G491" s="22">
        <v>0</v>
      </c>
      <c r="H491" s="87">
        <f t="shared" si="53"/>
        <v>1146.3599999999999</v>
      </c>
      <c r="I491" s="77">
        <v>1146.3599999999999</v>
      </c>
      <c r="J491" s="62"/>
      <c r="K491" s="62"/>
      <c r="L491" s="155"/>
    </row>
    <row r="492" spans="1:12" s="44" customFormat="1" ht="24" outlineLevel="1" x14ac:dyDescent="0.2">
      <c r="A492" s="89" t="s">
        <v>645</v>
      </c>
      <c r="B492" s="148">
        <v>43160</v>
      </c>
      <c r="C492" s="147">
        <v>43383</v>
      </c>
      <c r="D492" s="96">
        <v>10</v>
      </c>
      <c r="E492" s="22"/>
      <c r="F492" s="22">
        <v>1733.63</v>
      </c>
      <c r="G492" s="22">
        <v>0</v>
      </c>
      <c r="H492" s="87">
        <f t="shared" si="53"/>
        <v>1733.63</v>
      </c>
      <c r="I492" s="77">
        <v>1733.63</v>
      </c>
      <c r="J492" s="62"/>
      <c r="K492" s="62"/>
      <c r="L492" s="155"/>
    </row>
    <row r="493" spans="1:12" s="44" customFormat="1" ht="24" outlineLevel="1" x14ac:dyDescent="0.2">
      <c r="A493" s="89" t="s">
        <v>646</v>
      </c>
      <c r="B493" s="148">
        <v>43160</v>
      </c>
      <c r="C493" s="147">
        <v>43399</v>
      </c>
      <c r="D493" s="96">
        <v>10</v>
      </c>
      <c r="E493" s="22"/>
      <c r="F493" s="22">
        <v>5510</v>
      </c>
      <c r="G493" s="22">
        <v>0</v>
      </c>
      <c r="H493" s="87">
        <f t="shared" si="53"/>
        <v>5510</v>
      </c>
      <c r="I493" s="77">
        <v>5510</v>
      </c>
      <c r="J493" s="62"/>
      <c r="K493" s="62"/>
      <c r="L493" s="155"/>
    </row>
    <row r="494" spans="1:12" s="44" customFormat="1" ht="24" outlineLevel="1" x14ac:dyDescent="0.2">
      <c r="A494" s="89" t="s">
        <v>647</v>
      </c>
      <c r="B494" s="148">
        <v>43132</v>
      </c>
      <c r="C494" s="147">
        <v>43363</v>
      </c>
      <c r="D494" s="96">
        <v>10</v>
      </c>
      <c r="E494" s="22"/>
      <c r="F494" s="22">
        <v>1985.24</v>
      </c>
      <c r="G494" s="22">
        <v>0</v>
      </c>
      <c r="H494" s="87">
        <f t="shared" si="53"/>
        <v>1985.24</v>
      </c>
      <c r="I494" s="77">
        <v>1985.24</v>
      </c>
      <c r="J494" s="62"/>
      <c r="K494" s="62"/>
      <c r="L494" s="155"/>
    </row>
    <row r="495" spans="1:12" s="44" customFormat="1" ht="24" outlineLevel="1" x14ac:dyDescent="0.2">
      <c r="A495" s="89" t="s">
        <v>157</v>
      </c>
      <c r="B495" s="148">
        <v>42948</v>
      </c>
      <c r="C495" s="147">
        <v>43222</v>
      </c>
      <c r="D495" s="96">
        <v>10</v>
      </c>
      <c r="E495" s="22"/>
      <c r="F495" s="22">
        <v>5759.54</v>
      </c>
      <c r="G495" s="22">
        <v>0</v>
      </c>
      <c r="H495" s="87">
        <f t="shared" si="53"/>
        <v>5759.54</v>
      </c>
      <c r="I495" s="77">
        <v>5759.54</v>
      </c>
      <c r="J495" s="62"/>
      <c r="K495" s="62"/>
      <c r="L495" s="155"/>
    </row>
    <row r="496" spans="1:12" s="44" customFormat="1" outlineLevel="1" x14ac:dyDescent="0.2">
      <c r="A496" s="89" t="s">
        <v>389</v>
      </c>
      <c r="B496" s="148">
        <v>43070</v>
      </c>
      <c r="C496" s="147">
        <v>43398</v>
      </c>
      <c r="D496" s="96">
        <v>10</v>
      </c>
      <c r="E496" s="22">
        <v>878.54</v>
      </c>
      <c r="F496" s="22">
        <v>3086.6</v>
      </c>
      <c r="G496" s="22">
        <v>0</v>
      </c>
      <c r="H496" s="87">
        <f t="shared" si="53"/>
        <v>3965.14</v>
      </c>
      <c r="I496" s="77">
        <v>3965.14</v>
      </c>
      <c r="J496" s="62"/>
      <c r="K496" s="62"/>
      <c r="L496" s="155"/>
    </row>
    <row r="497" spans="1:12" s="44" customFormat="1" ht="24" outlineLevel="1" x14ac:dyDescent="0.2">
      <c r="A497" s="89" t="s">
        <v>390</v>
      </c>
      <c r="B497" s="148">
        <v>43009</v>
      </c>
      <c r="C497" s="147">
        <v>43492</v>
      </c>
      <c r="D497" s="96">
        <v>10</v>
      </c>
      <c r="E497" s="22"/>
      <c r="F497" s="22">
        <v>82717.03</v>
      </c>
      <c r="G497" s="22">
        <v>0</v>
      </c>
      <c r="H497" s="87">
        <f t="shared" si="53"/>
        <v>82717.03</v>
      </c>
      <c r="I497" s="77">
        <v>82717.03</v>
      </c>
      <c r="J497" s="62"/>
      <c r="K497" s="62"/>
      <c r="L497" s="155"/>
    </row>
    <row r="498" spans="1:12" s="44" customFormat="1" ht="24" outlineLevel="1" x14ac:dyDescent="0.2">
      <c r="A498" s="89" t="s">
        <v>158</v>
      </c>
      <c r="B498" s="148">
        <v>42948</v>
      </c>
      <c r="C498" s="147">
        <v>43252</v>
      </c>
      <c r="D498" s="96">
        <v>10</v>
      </c>
      <c r="E498" s="22"/>
      <c r="F498" s="22">
        <v>2483.17</v>
      </c>
      <c r="G498" s="22">
        <v>0</v>
      </c>
      <c r="H498" s="87">
        <f t="shared" si="53"/>
        <v>2483.17</v>
      </c>
      <c r="I498" s="77">
        <v>2483.17</v>
      </c>
      <c r="J498" s="62"/>
      <c r="K498" s="62"/>
      <c r="L498" s="155"/>
    </row>
    <row r="499" spans="1:12" s="44" customFormat="1" ht="24" outlineLevel="1" x14ac:dyDescent="0.2">
      <c r="A499" s="89" t="s">
        <v>159</v>
      </c>
      <c r="B499" s="148">
        <v>42887</v>
      </c>
      <c r="C499" s="147">
        <v>43572</v>
      </c>
      <c r="D499" s="96">
        <v>10</v>
      </c>
      <c r="E499" s="22"/>
      <c r="F499" s="22">
        <v>2033.62</v>
      </c>
      <c r="G499" s="22">
        <v>0</v>
      </c>
      <c r="H499" s="87">
        <f t="shared" si="53"/>
        <v>2033.62</v>
      </c>
      <c r="I499" s="77">
        <v>2033.62</v>
      </c>
      <c r="J499" s="62"/>
      <c r="K499" s="62"/>
      <c r="L499" s="163"/>
    </row>
    <row r="500" spans="1:12" s="44" customFormat="1" ht="24" outlineLevel="1" x14ac:dyDescent="0.2">
      <c r="A500" s="89" t="s">
        <v>160</v>
      </c>
      <c r="B500" s="148">
        <v>42826</v>
      </c>
      <c r="C500" s="147">
        <v>43455</v>
      </c>
      <c r="D500" s="96">
        <v>10</v>
      </c>
      <c r="E500" s="22"/>
      <c r="F500" s="22">
        <v>2542.9699999999998</v>
      </c>
      <c r="G500" s="22">
        <v>0</v>
      </c>
      <c r="H500" s="87">
        <f t="shared" si="53"/>
        <v>2542.9699999999998</v>
      </c>
      <c r="I500" s="77">
        <v>2542.9699999999998</v>
      </c>
      <c r="J500" s="62"/>
      <c r="K500" s="62"/>
      <c r="L500" s="163"/>
    </row>
    <row r="501" spans="1:12" s="44" customFormat="1" ht="36" outlineLevel="1" x14ac:dyDescent="0.2">
      <c r="A501" s="89" t="s">
        <v>391</v>
      </c>
      <c r="B501" s="148">
        <v>43009</v>
      </c>
      <c r="C501" s="147">
        <v>43300</v>
      </c>
      <c r="D501" s="96">
        <v>10</v>
      </c>
      <c r="E501" s="22"/>
      <c r="F501" s="22">
        <v>4424.24</v>
      </c>
      <c r="G501" s="22">
        <v>0</v>
      </c>
      <c r="H501" s="87">
        <f t="shared" si="53"/>
        <v>4424.24</v>
      </c>
      <c r="I501" s="77">
        <v>4424.24</v>
      </c>
      <c r="J501" s="62"/>
      <c r="K501" s="62"/>
      <c r="L501" s="163"/>
    </row>
    <row r="502" spans="1:12" s="44" customFormat="1" ht="24" outlineLevel="1" x14ac:dyDescent="0.2">
      <c r="A502" s="89" t="s">
        <v>648</v>
      </c>
      <c r="B502" s="148">
        <v>43132</v>
      </c>
      <c r="C502" s="147">
        <v>43406</v>
      </c>
      <c r="D502" s="96">
        <v>10</v>
      </c>
      <c r="E502" s="22"/>
      <c r="F502" s="22">
        <v>1985.24</v>
      </c>
      <c r="G502" s="22">
        <v>0</v>
      </c>
      <c r="H502" s="87">
        <f t="shared" si="53"/>
        <v>1985.24</v>
      </c>
      <c r="I502" s="77">
        <v>1985.24</v>
      </c>
      <c r="J502" s="62"/>
      <c r="K502" s="62"/>
      <c r="L502" s="163"/>
    </row>
    <row r="503" spans="1:12" s="44" customFormat="1" ht="15" outlineLevel="1" x14ac:dyDescent="0.2">
      <c r="A503" s="89" t="s">
        <v>649</v>
      </c>
      <c r="B503" s="148">
        <v>43101</v>
      </c>
      <c r="C503" s="147">
        <v>43377</v>
      </c>
      <c r="D503" s="96">
        <v>10</v>
      </c>
      <c r="E503" s="22"/>
      <c r="F503" s="22">
        <v>2361.31</v>
      </c>
      <c r="G503" s="22">
        <v>0</v>
      </c>
      <c r="H503" s="87">
        <f t="shared" si="53"/>
        <v>2361.31</v>
      </c>
      <c r="I503" s="77">
        <v>2361.31</v>
      </c>
      <c r="J503" s="62"/>
      <c r="K503" s="62"/>
      <c r="L503" s="163"/>
    </row>
    <row r="504" spans="1:12" s="7" customFormat="1" ht="24.75" customHeight="1" outlineLevel="1" x14ac:dyDescent="0.2">
      <c r="A504" s="89" t="s">
        <v>650</v>
      </c>
      <c r="B504" s="148">
        <v>43101</v>
      </c>
      <c r="C504" s="147">
        <v>43356</v>
      </c>
      <c r="D504" s="96">
        <v>10</v>
      </c>
      <c r="E504" s="22"/>
      <c r="F504" s="22">
        <v>2361.31</v>
      </c>
      <c r="G504" s="22">
        <v>0</v>
      </c>
      <c r="H504" s="87">
        <f t="shared" si="53"/>
        <v>2361.31</v>
      </c>
      <c r="I504" s="77">
        <v>2361.31</v>
      </c>
      <c r="J504" s="62"/>
      <c r="K504" s="62"/>
      <c r="L504" s="163"/>
    </row>
    <row r="505" spans="1:12" ht="41.25" customHeight="1" outlineLevel="1" x14ac:dyDescent="0.2">
      <c r="A505" s="89" t="s">
        <v>651</v>
      </c>
      <c r="B505" s="148">
        <v>43132</v>
      </c>
      <c r="C505" s="147">
        <v>43474</v>
      </c>
      <c r="D505" s="96">
        <v>10</v>
      </c>
      <c r="E505" s="22"/>
      <c r="F505" s="22">
        <v>1985.24</v>
      </c>
      <c r="G505" s="22">
        <v>0</v>
      </c>
      <c r="H505" s="87">
        <f t="shared" si="53"/>
        <v>1985.24</v>
      </c>
      <c r="I505" s="77">
        <v>1985.24</v>
      </c>
      <c r="J505" s="62"/>
      <c r="K505" s="62"/>
      <c r="L505" s="163"/>
    </row>
    <row r="506" spans="1:12" ht="24" outlineLevel="1" x14ac:dyDescent="0.2">
      <c r="A506" s="89" t="s">
        <v>652</v>
      </c>
      <c r="B506" s="148">
        <v>43101</v>
      </c>
      <c r="C506" s="147">
        <v>43349</v>
      </c>
      <c r="D506" s="96">
        <v>10</v>
      </c>
      <c r="E506" s="22"/>
      <c r="F506" s="22">
        <v>2361.31</v>
      </c>
      <c r="G506" s="22">
        <v>0</v>
      </c>
      <c r="H506" s="87">
        <f t="shared" si="53"/>
        <v>2361.31</v>
      </c>
      <c r="I506" s="77">
        <v>2361.31</v>
      </c>
      <c r="J506" s="62"/>
      <c r="K506" s="62"/>
      <c r="L506" s="163"/>
    </row>
    <row r="507" spans="1:12" s="40" customFormat="1" ht="33" customHeight="1" outlineLevel="1" x14ac:dyDescent="0.2">
      <c r="A507" s="89" t="s">
        <v>392</v>
      </c>
      <c r="B507" s="148">
        <v>43070</v>
      </c>
      <c r="C507" s="147">
        <v>43374</v>
      </c>
      <c r="D507" s="96">
        <v>10</v>
      </c>
      <c r="E507" s="22"/>
      <c r="F507" s="22">
        <v>1543.3</v>
      </c>
      <c r="G507" s="22">
        <v>0</v>
      </c>
      <c r="H507" s="87">
        <f t="shared" si="53"/>
        <v>1543.3</v>
      </c>
      <c r="I507" s="77">
        <v>1543.3</v>
      </c>
      <c r="J507" s="62"/>
      <c r="K507" s="62"/>
      <c r="L507" s="155"/>
    </row>
    <row r="508" spans="1:12" s="40" customFormat="1" ht="29.25" customHeight="1" outlineLevel="1" x14ac:dyDescent="0.2">
      <c r="A508" s="89" t="s">
        <v>393</v>
      </c>
      <c r="B508" s="148">
        <v>43009</v>
      </c>
      <c r="C508" s="147">
        <v>43314</v>
      </c>
      <c r="D508" s="96">
        <v>90</v>
      </c>
      <c r="E508" s="22">
        <v>25495.13</v>
      </c>
      <c r="F508" s="22">
        <v>2671.29</v>
      </c>
      <c r="G508" s="22">
        <v>0</v>
      </c>
      <c r="H508" s="87">
        <f t="shared" si="53"/>
        <v>28166.420000000002</v>
      </c>
      <c r="I508" s="77">
        <v>28166.42</v>
      </c>
      <c r="J508" s="62"/>
      <c r="K508" s="62"/>
      <c r="L508" s="155"/>
    </row>
    <row r="509" spans="1:12" s="40" customFormat="1" ht="27.75" customHeight="1" outlineLevel="1" x14ac:dyDescent="0.2">
      <c r="A509" s="89" t="s">
        <v>394</v>
      </c>
      <c r="B509" s="148">
        <v>43009</v>
      </c>
      <c r="C509" s="147">
        <v>43288</v>
      </c>
      <c r="D509" s="96">
        <v>10</v>
      </c>
      <c r="E509" s="22"/>
      <c r="F509" s="22">
        <v>2212.12</v>
      </c>
      <c r="G509" s="22">
        <v>0</v>
      </c>
      <c r="H509" s="87">
        <f t="shared" si="53"/>
        <v>2212.12</v>
      </c>
      <c r="I509" s="77">
        <v>2212.12</v>
      </c>
      <c r="J509" s="62"/>
      <c r="K509" s="62"/>
      <c r="L509" s="155"/>
    </row>
    <row r="510" spans="1:12" s="40" customFormat="1" ht="30.75" customHeight="1" outlineLevel="1" x14ac:dyDescent="0.2">
      <c r="A510" s="89" t="s">
        <v>395</v>
      </c>
      <c r="B510" s="148">
        <v>43009</v>
      </c>
      <c r="C510" s="147">
        <v>43280</v>
      </c>
      <c r="D510" s="96">
        <v>10</v>
      </c>
      <c r="E510" s="22"/>
      <c r="F510" s="22">
        <v>3276.37</v>
      </c>
      <c r="G510" s="22">
        <v>0</v>
      </c>
      <c r="H510" s="87">
        <f t="shared" si="53"/>
        <v>3276.37</v>
      </c>
      <c r="I510" s="77">
        <v>3276.37</v>
      </c>
      <c r="J510" s="62"/>
      <c r="K510" s="62"/>
      <c r="L510" s="155"/>
    </row>
    <row r="511" spans="1:12" s="40" customFormat="1" ht="30" customHeight="1" outlineLevel="1" x14ac:dyDescent="0.2">
      <c r="A511" s="89" t="s">
        <v>161</v>
      </c>
      <c r="B511" s="148">
        <v>42948</v>
      </c>
      <c r="C511" s="147">
        <v>43280</v>
      </c>
      <c r="D511" s="96">
        <v>10</v>
      </c>
      <c r="E511" s="22"/>
      <c r="F511" s="22">
        <v>3399.57</v>
      </c>
      <c r="G511" s="22">
        <v>0</v>
      </c>
      <c r="H511" s="87">
        <f t="shared" si="53"/>
        <v>3399.57</v>
      </c>
      <c r="I511" s="77">
        <v>3399.57</v>
      </c>
      <c r="J511" s="62"/>
      <c r="K511" s="62"/>
      <c r="L511" s="155"/>
    </row>
    <row r="512" spans="1:12" s="40" customFormat="1" ht="36.75" customHeight="1" outlineLevel="1" x14ac:dyDescent="0.2">
      <c r="A512" s="89" t="s">
        <v>162</v>
      </c>
      <c r="B512" s="148">
        <v>42917</v>
      </c>
      <c r="C512" s="147">
        <v>43256</v>
      </c>
      <c r="D512" s="96">
        <v>10</v>
      </c>
      <c r="E512" s="22"/>
      <c r="F512" s="22">
        <v>1639.51</v>
      </c>
      <c r="G512" s="22">
        <v>0</v>
      </c>
      <c r="H512" s="87">
        <f t="shared" si="53"/>
        <v>1639.51</v>
      </c>
      <c r="I512" s="77">
        <v>1639.51</v>
      </c>
      <c r="J512" s="62"/>
      <c r="K512" s="62"/>
      <c r="L512" s="155"/>
    </row>
    <row r="513" spans="1:12" s="40" customFormat="1" ht="30.75" customHeight="1" outlineLevel="1" x14ac:dyDescent="0.2">
      <c r="A513" s="89" t="s">
        <v>653</v>
      </c>
      <c r="B513" s="148">
        <v>43101</v>
      </c>
      <c r="C513" s="147">
        <v>43347</v>
      </c>
      <c r="D513" s="96">
        <v>90</v>
      </c>
      <c r="E513" s="22">
        <v>13283.42</v>
      </c>
      <c r="F513" s="22">
        <v>2361.31</v>
      </c>
      <c r="G513" s="22">
        <v>0</v>
      </c>
      <c r="H513" s="87">
        <f t="shared" si="53"/>
        <v>15644.73</v>
      </c>
      <c r="I513" s="77">
        <v>15644.73</v>
      </c>
      <c r="J513" s="62"/>
      <c r="K513" s="62"/>
      <c r="L513" s="155"/>
    </row>
    <row r="514" spans="1:12" s="40" customFormat="1" ht="32.25" customHeight="1" outlineLevel="1" x14ac:dyDescent="0.2">
      <c r="A514" s="89" t="s">
        <v>654</v>
      </c>
      <c r="B514" s="148">
        <v>43160</v>
      </c>
      <c r="C514" s="147">
        <v>43403</v>
      </c>
      <c r="D514" s="96">
        <v>10</v>
      </c>
      <c r="E514" s="22"/>
      <c r="F514" s="22">
        <v>3467.26</v>
      </c>
      <c r="G514" s="22">
        <v>0</v>
      </c>
      <c r="H514" s="87">
        <f t="shared" si="53"/>
        <v>3467.26</v>
      </c>
      <c r="I514" s="77">
        <v>3467.26</v>
      </c>
      <c r="J514" s="62"/>
      <c r="K514" s="62"/>
      <c r="L514" s="155"/>
    </row>
    <row r="515" spans="1:12" s="40" customFormat="1" ht="36" customHeight="1" outlineLevel="1" x14ac:dyDescent="0.2">
      <c r="A515" s="89" t="s">
        <v>163</v>
      </c>
      <c r="B515" s="148">
        <v>42979</v>
      </c>
      <c r="C515" s="147">
        <v>43280</v>
      </c>
      <c r="D515" s="96">
        <v>10</v>
      </c>
      <c r="E515" s="22"/>
      <c r="F515" s="22">
        <v>2684.85</v>
      </c>
      <c r="G515" s="22">
        <v>0</v>
      </c>
      <c r="H515" s="87">
        <f t="shared" si="53"/>
        <v>2684.85</v>
      </c>
      <c r="I515" s="77">
        <v>2684.85</v>
      </c>
      <c r="J515" s="62"/>
      <c r="K515" s="62"/>
      <c r="L515" s="155"/>
    </row>
    <row r="516" spans="1:12" s="40" customFormat="1" ht="33" customHeight="1" outlineLevel="1" x14ac:dyDescent="0.2">
      <c r="A516" s="89" t="s">
        <v>655</v>
      </c>
      <c r="B516" s="148">
        <v>43101</v>
      </c>
      <c r="C516" s="147">
        <v>43342</v>
      </c>
      <c r="D516" s="96">
        <v>10</v>
      </c>
      <c r="E516" s="22"/>
      <c r="F516" s="22">
        <v>2361.31</v>
      </c>
      <c r="G516" s="22">
        <v>0</v>
      </c>
      <c r="H516" s="87">
        <f t="shared" si="53"/>
        <v>2361.31</v>
      </c>
      <c r="I516" s="77">
        <v>2361.31</v>
      </c>
      <c r="J516" s="62"/>
      <c r="K516" s="62"/>
      <c r="L516" s="167"/>
    </row>
    <row r="517" spans="1:12" s="40" customFormat="1" ht="24" outlineLevel="1" x14ac:dyDescent="0.2">
      <c r="A517" s="89" t="s">
        <v>656</v>
      </c>
      <c r="B517" s="148">
        <v>43132</v>
      </c>
      <c r="C517" s="147">
        <v>43356</v>
      </c>
      <c r="D517" s="96">
        <v>10</v>
      </c>
      <c r="E517" s="22"/>
      <c r="F517" s="22">
        <v>1985.26</v>
      </c>
      <c r="G517" s="22">
        <v>0</v>
      </c>
      <c r="H517" s="87">
        <f t="shared" si="53"/>
        <v>1985.26</v>
      </c>
      <c r="I517" s="77">
        <v>1985.26</v>
      </c>
      <c r="J517" s="62"/>
      <c r="K517" s="62"/>
      <c r="L517" s="167"/>
    </row>
    <row r="518" spans="1:12" s="40" customFormat="1" ht="35.25" customHeight="1" outlineLevel="1" x14ac:dyDescent="0.2">
      <c r="A518" s="89" t="s">
        <v>657</v>
      </c>
      <c r="B518" s="148">
        <v>43132</v>
      </c>
      <c r="C518" s="147">
        <v>43369</v>
      </c>
      <c r="D518" s="96">
        <v>10</v>
      </c>
      <c r="E518" s="22"/>
      <c r="F518" s="22">
        <v>1985.24</v>
      </c>
      <c r="G518" s="22">
        <v>0</v>
      </c>
      <c r="H518" s="87">
        <f t="shared" si="53"/>
        <v>1985.24</v>
      </c>
      <c r="I518" s="77">
        <v>1985.24</v>
      </c>
      <c r="J518" s="62"/>
      <c r="K518" s="62"/>
      <c r="L518" s="167"/>
    </row>
    <row r="519" spans="1:12" s="40" customFormat="1" ht="32.25" customHeight="1" outlineLevel="1" x14ac:dyDescent="0.2">
      <c r="A519" s="89" t="s">
        <v>396</v>
      </c>
      <c r="B519" s="148">
        <v>43070</v>
      </c>
      <c r="C519" s="147">
        <v>43361</v>
      </c>
      <c r="D519" s="96">
        <v>10</v>
      </c>
      <c r="E519" s="22"/>
      <c r="F519" s="22">
        <v>1543.3</v>
      </c>
      <c r="G519" s="22">
        <v>0</v>
      </c>
      <c r="H519" s="87">
        <f t="shared" si="53"/>
        <v>1543.3</v>
      </c>
      <c r="I519" s="77">
        <v>1543.3</v>
      </c>
      <c r="J519" s="62"/>
      <c r="K519" s="62"/>
      <c r="L519" s="167"/>
    </row>
    <row r="520" spans="1:12" s="40" customFormat="1" ht="32.25" customHeight="1" outlineLevel="1" x14ac:dyDescent="0.2">
      <c r="A520" s="89" t="s">
        <v>164</v>
      </c>
      <c r="B520" s="148">
        <v>43070</v>
      </c>
      <c r="C520" s="147">
        <v>43347</v>
      </c>
      <c r="D520" s="96">
        <v>90</v>
      </c>
      <c r="E520" s="22">
        <v>14768.12</v>
      </c>
      <c r="F520" s="22">
        <v>1543.3</v>
      </c>
      <c r="G520" s="22">
        <v>0</v>
      </c>
      <c r="H520" s="87">
        <f t="shared" si="53"/>
        <v>16311.42</v>
      </c>
      <c r="I520" s="77">
        <v>16311.42</v>
      </c>
      <c r="J520" s="62"/>
      <c r="K520" s="62"/>
      <c r="L520" s="167"/>
    </row>
    <row r="521" spans="1:12" s="40" customFormat="1" ht="27.75" customHeight="1" outlineLevel="1" x14ac:dyDescent="0.2">
      <c r="A521" s="89" t="s">
        <v>397</v>
      </c>
      <c r="B521" s="148">
        <v>43009</v>
      </c>
      <c r="C521" s="147">
        <v>43284</v>
      </c>
      <c r="D521" s="96">
        <v>90</v>
      </c>
      <c r="E521" s="22">
        <v>17207.560000000001</v>
      </c>
      <c r="F521" s="22">
        <v>3276.37</v>
      </c>
      <c r="G521" s="22">
        <v>0</v>
      </c>
      <c r="H521" s="87">
        <f t="shared" si="53"/>
        <v>20483.93</v>
      </c>
      <c r="I521" s="77">
        <v>20483.93</v>
      </c>
      <c r="J521" s="62"/>
      <c r="K521" s="62"/>
      <c r="L521" s="167"/>
    </row>
    <row r="522" spans="1:12" s="40" customFormat="1" ht="21.75" customHeight="1" outlineLevel="1" x14ac:dyDescent="0.2">
      <c r="A522" s="89" t="s">
        <v>130</v>
      </c>
      <c r="B522" s="148">
        <v>42705</v>
      </c>
      <c r="C522" s="147">
        <v>43398</v>
      </c>
      <c r="D522" s="96">
        <v>10</v>
      </c>
      <c r="E522" s="22"/>
      <c r="F522" s="22">
        <v>3483.24</v>
      </c>
      <c r="G522" s="22">
        <v>0</v>
      </c>
      <c r="H522" s="87">
        <f t="shared" si="53"/>
        <v>3483.24</v>
      </c>
      <c r="I522" s="77">
        <v>3483.24</v>
      </c>
      <c r="J522" s="62"/>
      <c r="K522" s="62"/>
      <c r="L522" s="167"/>
    </row>
    <row r="523" spans="1:12" s="40" customFormat="1" ht="35.25" customHeight="1" outlineLevel="1" x14ac:dyDescent="0.2">
      <c r="A523" s="89" t="s">
        <v>165</v>
      </c>
      <c r="B523" s="148">
        <v>43070</v>
      </c>
      <c r="C523" s="147">
        <v>43320</v>
      </c>
      <c r="D523" s="96">
        <v>10</v>
      </c>
      <c r="E523" s="22"/>
      <c r="F523" s="22">
        <v>1543.3</v>
      </c>
      <c r="G523" s="22">
        <v>0</v>
      </c>
      <c r="H523" s="87">
        <f t="shared" si="53"/>
        <v>1543.3</v>
      </c>
      <c r="I523" s="77">
        <v>1543.3</v>
      </c>
      <c r="J523" s="62"/>
      <c r="K523" s="62"/>
      <c r="L523" s="167"/>
    </row>
    <row r="524" spans="1:12" s="40" customFormat="1" ht="35.25" customHeight="1" outlineLevel="1" x14ac:dyDescent="0.2">
      <c r="A524" s="89" t="s">
        <v>658</v>
      </c>
      <c r="B524" s="148">
        <v>43160</v>
      </c>
      <c r="C524" s="147">
        <v>43403</v>
      </c>
      <c r="D524" s="96">
        <v>10</v>
      </c>
      <c r="E524" s="22"/>
      <c r="F524" s="22">
        <v>1733.63</v>
      </c>
      <c r="G524" s="22">
        <v>0</v>
      </c>
      <c r="H524" s="87">
        <f t="shared" si="53"/>
        <v>1733.63</v>
      </c>
      <c r="I524" s="77">
        <v>1733.63</v>
      </c>
      <c r="J524" s="62"/>
      <c r="K524" s="62"/>
      <c r="L524" s="167"/>
    </row>
    <row r="525" spans="1:12" s="40" customFormat="1" ht="35.25" customHeight="1" outlineLevel="1" x14ac:dyDescent="0.2">
      <c r="A525" s="89" t="s">
        <v>398</v>
      </c>
      <c r="B525" s="148">
        <v>43009</v>
      </c>
      <c r="C525" s="147">
        <v>43288</v>
      </c>
      <c r="D525" s="96">
        <v>10</v>
      </c>
      <c r="E525" s="22"/>
      <c r="F525" s="22">
        <v>5740.66</v>
      </c>
      <c r="G525" s="22">
        <v>0</v>
      </c>
      <c r="H525" s="87">
        <f t="shared" si="53"/>
        <v>5740.66</v>
      </c>
      <c r="I525" s="77">
        <v>5740.66</v>
      </c>
      <c r="J525" s="62"/>
      <c r="K525" s="62"/>
      <c r="L525" s="167"/>
    </row>
    <row r="526" spans="1:12" s="40" customFormat="1" ht="35.25" customHeight="1" outlineLevel="1" x14ac:dyDescent="0.2">
      <c r="A526" s="89" t="s">
        <v>659</v>
      </c>
      <c r="B526" s="148">
        <v>43160</v>
      </c>
      <c r="C526" s="147">
        <v>43375</v>
      </c>
      <c r="D526" s="96">
        <v>10</v>
      </c>
      <c r="E526" s="22"/>
      <c r="F526" s="22">
        <v>1733.63</v>
      </c>
      <c r="G526" s="22">
        <v>0</v>
      </c>
      <c r="H526" s="87">
        <f t="shared" si="53"/>
        <v>1733.63</v>
      </c>
      <c r="I526" s="77">
        <v>1733.63</v>
      </c>
      <c r="J526" s="62"/>
      <c r="K526" s="62"/>
      <c r="L526" s="167"/>
    </row>
    <row r="527" spans="1:12" ht="24" outlineLevel="1" x14ac:dyDescent="0.2">
      <c r="A527" s="89" t="s">
        <v>166</v>
      </c>
      <c r="B527" s="148">
        <v>42948</v>
      </c>
      <c r="C527" s="147">
        <v>43265</v>
      </c>
      <c r="D527" s="96">
        <v>10</v>
      </c>
      <c r="E527" s="22"/>
      <c r="F527" s="22">
        <v>3399.57</v>
      </c>
      <c r="G527" s="22">
        <v>0</v>
      </c>
      <c r="H527" s="87">
        <f t="shared" si="53"/>
        <v>3399.57</v>
      </c>
      <c r="I527" s="77">
        <v>3399.57</v>
      </c>
      <c r="J527" s="62"/>
      <c r="K527" s="62"/>
      <c r="L527" s="167"/>
    </row>
    <row r="528" spans="1:12" s="40" customFormat="1" outlineLevel="1" x14ac:dyDescent="0.2">
      <c r="A528" s="89" t="s">
        <v>399</v>
      </c>
      <c r="B528" s="148">
        <v>43040</v>
      </c>
      <c r="C528" s="147">
        <v>43351</v>
      </c>
      <c r="D528" s="96">
        <v>10</v>
      </c>
      <c r="E528" s="22"/>
      <c r="F528" s="22">
        <v>1806.24</v>
      </c>
      <c r="G528" s="22">
        <v>0</v>
      </c>
      <c r="H528" s="87">
        <f t="shared" si="53"/>
        <v>1806.24</v>
      </c>
      <c r="I528" s="77">
        <v>1806.24</v>
      </c>
      <c r="J528" s="62"/>
      <c r="K528" s="62"/>
      <c r="L528" s="167"/>
    </row>
    <row r="529" spans="1:12" s="40" customFormat="1" ht="35.25" customHeight="1" outlineLevel="1" x14ac:dyDescent="0.2">
      <c r="A529" s="89" t="s">
        <v>167</v>
      </c>
      <c r="B529" s="148">
        <v>42856</v>
      </c>
      <c r="C529" s="147">
        <v>43379</v>
      </c>
      <c r="D529" s="96">
        <v>10</v>
      </c>
      <c r="E529" s="22"/>
      <c r="F529" s="22">
        <v>1645.92</v>
      </c>
      <c r="G529" s="22">
        <v>0</v>
      </c>
      <c r="H529" s="87">
        <f t="shared" si="53"/>
        <v>1645.92</v>
      </c>
      <c r="I529" s="77">
        <v>1645.92</v>
      </c>
      <c r="J529" s="62"/>
      <c r="K529" s="62"/>
      <c r="L529" s="167"/>
    </row>
    <row r="530" spans="1:12" s="40" customFormat="1" ht="35.25" customHeight="1" outlineLevel="1" x14ac:dyDescent="0.2">
      <c r="A530" s="89" t="s">
        <v>168</v>
      </c>
      <c r="B530" s="148">
        <v>42948</v>
      </c>
      <c r="C530" s="147">
        <v>43280</v>
      </c>
      <c r="D530" s="96">
        <v>10</v>
      </c>
      <c r="E530" s="22"/>
      <c r="F530" s="22">
        <v>38399.57</v>
      </c>
      <c r="G530" s="22">
        <v>0</v>
      </c>
      <c r="H530" s="87">
        <f t="shared" si="53"/>
        <v>38399.57</v>
      </c>
      <c r="I530" s="77">
        <v>38399.57</v>
      </c>
      <c r="J530" s="62"/>
      <c r="K530" s="62"/>
      <c r="L530" s="167"/>
    </row>
    <row r="531" spans="1:12" s="40" customFormat="1" ht="35.25" customHeight="1" outlineLevel="1" x14ac:dyDescent="0.2">
      <c r="A531" s="89" t="s">
        <v>169</v>
      </c>
      <c r="B531" s="148">
        <v>42979</v>
      </c>
      <c r="C531" s="147">
        <v>43643</v>
      </c>
      <c r="D531" s="96">
        <v>10</v>
      </c>
      <c r="E531" s="22"/>
      <c r="F531" s="22">
        <v>49065.85</v>
      </c>
      <c r="G531" s="22">
        <v>0</v>
      </c>
      <c r="H531" s="87">
        <f t="shared" si="53"/>
        <v>49065.85</v>
      </c>
      <c r="I531" s="77">
        <v>49065.85</v>
      </c>
      <c r="J531" s="62"/>
      <c r="K531" s="62"/>
      <c r="L531" s="163"/>
    </row>
    <row r="532" spans="1:12" s="40" customFormat="1" ht="35.25" customHeight="1" outlineLevel="1" x14ac:dyDescent="0.2">
      <c r="A532" s="89" t="s">
        <v>170</v>
      </c>
      <c r="B532" s="148">
        <v>42917</v>
      </c>
      <c r="C532" s="147">
        <v>43252</v>
      </c>
      <c r="D532" s="96">
        <v>10</v>
      </c>
      <c r="E532" s="22"/>
      <c r="F532" s="22">
        <v>1639.51</v>
      </c>
      <c r="G532" s="22">
        <v>0</v>
      </c>
      <c r="H532" s="87">
        <f t="shared" si="53"/>
        <v>1639.51</v>
      </c>
      <c r="I532" s="77">
        <v>1639.51</v>
      </c>
      <c r="J532" s="62"/>
      <c r="K532" s="62"/>
      <c r="L532" s="163"/>
    </row>
    <row r="533" spans="1:12" s="40" customFormat="1" ht="31.5" customHeight="1" outlineLevel="1" x14ac:dyDescent="0.2">
      <c r="A533" s="89" t="s">
        <v>660</v>
      </c>
      <c r="B533" s="148">
        <v>43132</v>
      </c>
      <c r="C533" s="147">
        <v>43481</v>
      </c>
      <c r="D533" s="96">
        <v>10</v>
      </c>
      <c r="E533" s="22"/>
      <c r="F533" s="22">
        <v>3970.48</v>
      </c>
      <c r="G533" s="22">
        <v>0</v>
      </c>
      <c r="H533" s="87">
        <f t="shared" si="53"/>
        <v>3970.48</v>
      </c>
      <c r="I533" s="77">
        <v>3970.48</v>
      </c>
      <c r="J533" s="62"/>
      <c r="K533" s="62"/>
      <c r="L533" s="155"/>
    </row>
    <row r="534" spans="1:12" s="40" customFormat="1" ht="31.5" customHeight="1" outlineLevel="1" x14ac:dyDescent="0.2">
      <c r="A534" s="89" t="s">
        <v>171</v>
      </c>
      <c r="B534" s="148">
        <v>43009</v>
      </c>
      <c r="C534" s="147">
        <v>43334</v>
      </c>
      <c r="D534" s="96">
        <v>10</v>
      </c>
      <c r="E534" s="22"/>
      <c r="F534" s="22">
        <v>15606.63</v>
      </c>
      <c r="G534" s="22">
        <v>0</v>
      </c>
      <c r="H534" s="87">
        <f t="shared" si="53"/>
        <v>15606.63</v>
      </c>
      <c r="I534" s="77">
        <v>15606.63</v>
      </c>
      <c r="J534" s="62"/>
      <c r="K534" s="62"/>
      <c r="L534" s="155"/>
    </row>
    <row r="535" spans="1:12" s="40" customFormat="1" ht="21" customHeight="1" outlineLevel="1" x14ac:dyDescent="0.2">
      <c r="A535" s="89" t="s">
        <v>137</v>
      </c>
      <c r="B535" s="148">
        <v>43132</v>
      </c>
      <c r="C535" s="147">
        <v>43405</v>
      </c>
      <c r="D535" s="96">
        <v>10</v>
      </c>
      <c r="E535" s="22"/>
      <c r="F535" s="22">
        <v>7502.63</v>
      </c>
      <c r="G535" s="22">
        <v>0</v>
      </c>
      <c r="H535" s="87">
        <f t="shared" si="53"/>
        <v>7502.63</v>
      </c>
      <c r="I535" s="77">
        <v>7502.63</v>
      </c>
      <c r="J535" s="62"/>
      <c r="K535" s="62"/>
      <c r="L535" s="155"/>
    </row>
    <row r="536" spans="1:12" s="7" customFormat="1" ht="25.5" customHeight="1" outlineLevel="1" x14ac:dyDescent="0.2">
      <c r="A536" s="89" t="s">
        <v>661</v>
      </c>
      <c r="B536" s="148">
        <v>43132</v>
      </c>
      <c r="C536" s="147">
        <v>43399</v>
      </c>
      <c r="D536" s="96">
        <v>10</v>
      </c>
      <c r="E536" s="22"/>
      <c r="F536" s="22">
        <v>1992.63</v>
      </c>
      <c r="G536" s="22">
        <v>0</v>
      </c>
      <c r="H536" s="87">
        <f t="shared" si="53"/>
        <v>1992.63</v>
      </c>
      <c r="I536" s="77">
        <v>1992.63</v>
      </c>
      <c r="J536" s="62"/>
      <c r="K536" s="62"/>
      <c r="L536" s="155"/>
    </row>
    <row r="537" spans="1:12" s="40" customFormat="1" ht="31.5" customHeight="1" outlineLevel="1" x14ac:dyDescent="0.2">
      <c r="A537" s="89" t="s">
        <v>662</v>
      </c>
      <c r="B537" s="148">
        <v>43009</v>
      </c>
      <c r="C537" s="147">
        <v>43349</v>
      </c>
      <c r="D537" s="96">
        <v>10</v>
      </c>
      <c r="E537" s="22"/>
      <c r="F537" s="22">
        <v>2212.12</v>
      </c>
      <c r="G537" s="22">
        <v>0</v>
      </c>
      <c r="H537" s="87">
        <f t="shared" si="53"/>
        <v>2212.12</v>
      </c>
      <c r="I537" s="77">
        <v>2212.12</v>
      </c>
      <c r="J537" s="62"/>
      <c r="K537" s="62"/>
      <c r="L537" s="155"/>
    </row>
    <row r="538" spans="1:12" s="40" customFormat="1" ht="31.5" customHeight="1" outlineLevel="1" x14ac:dyDescent="0.2">
      <c r="A538" s="89" t="s">
        <v>663</v>
      </c>
      <c r="B538" s="148">
        <v>43101</v>
      </c>
      <c r="C538" s="147">
        <v>43355</v>
      </c>
      <c r="D538" s="96">
        <v>10</v>
      </c>
      <c r="E538" s="22"/>
      <c r="F538" s="22">
        <v>2361.31</v>
      </c>
      <c r="G538" s="22">
        <v>0</v>
      </c>
      <c r="H538" s="87">
        <f t="shared" si="53"/>
        <v>2361.31</v>
      </c>
      <c r="I538" s="77">
        <v>2361.31</v>
      </c>
      <c r="J538" s="62"/>
      <c r="K538" s="62"/>
      <c r="L538" s="155"/>
    </row>
    <row r="539" spans="1:12" s="7" customFormat="1" ht="37.5" customHeight="1" outlineLevel="1" x14ac:dyDescent="0.2">
      <c r="A539" s="89" t="s">
        <v>664</v>
      </c>
      <c r="B539" s="148">
        <v>43160</v>
      </c>
      <c r="C539" s="147">
        <v>43300</v>
      </c>
      <c r="D539" s="96">
        <v>10</v>
      </c>
      <c r="E539" s="22"/>
      <c r="F539" s="22">
        <v>1733.63</v>
      </c>
      <c r="G539" s="22">
        <v>0</v>
      </c>
      <c r="H539" s="87">
        <f t="shared" si="53"/>
        <v>1733.63</v>
      </c>
      <c r="I539" s="77">
        <v>1733.63</v>
      </c>
      <c r="J539" s="62"/>
      <c r="K539" s="62"/>
      <c r="L539" s="155"/>
    </row>
    <row r="540" spans="1:12" s="40" customFormat="1" ht="31.5" customHeight="1" outlineLevel="1" x14ac:dyDescent="0.2">
      <c r="A540" s="89" t="s">
        <v>400</v>
      </c>
      <c r="B540" s="148">
        <v>43070</v>
      </c>
      <c r="C540" s="147">
        <v>43336</v>
      </c>
      <c r="D540" s="96">
        <v>10</v>
      </c>
      <c r="E540" s="22"/>
      <c r="F540" s="22">
        <v>36543.300000000003</v>
      </c>
      <c r="G540" s="22">
        <v>0</v>
      </c>
      <c r="H540" s="87">
        <f t="shared" si="53"/>
        <v>36543.300000000003</v>
      </c>
      <c r="I540" s="77">
        <v>36543.300000000003</v>
      </c>
      <c r="J540" s="62"/>
      <c r="K540" s="62"/>
      <c r="L540" s="155"/>
    </row>
    <row r="541" spans="1:12" s="40" customFormat="1" ht="31.5" customHeight="1" outlineLevel="1" x14ac:dyDescent="0.2">
      <c r="A541" s="89" t="s">
        <v>401</v>
      </c>
      <c r="B541" s="148">
        <v>43040</v>
      </c>
      <c r="C541" s="147">
        <v>43355</v>
      </c>
      <c r="D541" s="96">
        <v>10</v>
      </c>
      <c r="E541" s="22"/>
      <c r="F541" s="22">
        <v>37033.49</v>
      </c>
      <c r="G541" s="22">
        <v>0</v>
      </c>
      <c r="H541" s="87">
        <f t="shared" si="53"/>
        <v>37033.49</v>
      </c>
      <c r="I541" s="77">
        <v>37033.49</v>
      </c>
      <c r="J541" s="62"/>
      <c r="K541" s="62"/>
      <c r="L541" s="155"/>
    </row>
    <row r="542" spans="1:12" s="40" customFormat="1" ht="31.5" customHeight="1" outlineLevel="1" x14ac:dyDescent="0.2">
      <c r="A542" s="89" t="s">
        <v>402</v>
      </c>
      <c r="B542" s="148">
        <v>43070</v>
      </c>
      <c r="C542" s="147">
        <v>43305</v>
      </c>
      <c r="D542" s="96">
        <v>10</v>
      </c>
      <c r="E542" s="22"/>
      <c r="F542" s="22">
        <v>2212.08</v>
      </c>
      <c r="G542" s="22">
        <v>0</v>
      </c>
      <c r="H542" s="87">
        <f t="shared" si="53"/>
        <v>2212.08</v>
      </c>
      <c r="I542" s="77">
        <v>2212.08</v>
      </c>
      <c r="J542" s="62"/>
      <c r="K542" s="62"/>
      <c r="L542" s="155"/>
    </row>
    <row r="543" spans="1:12" s="40" customFormat="1" ht="31.5" customHeight="1" outlineLevel="1" x14ac:dyDescent="0.2">
      <c r="A543" s="89" t="s">
        <v>403</v>
      </c>
      <c r="B543" s="148">
        <v>43070</v>
      </c>
      <c r="C543" s="147">
        <v>43393</v>
      </c>
      <c r="D543" s="96">
        <v>10</v>
      </c>
      <c r="E543" s="22"/>
      <c r="F543" s="22">
        <v>2361.31</v>
      </c>
      <c r="G543" s="22">
        <v>0</v>
      </c>
      <c r="H543" s="87">
        <f>E543+F543+G543</f>
        <v>2361.31</v>
      </c>
      <c r="I543" s="77">
        <v>2361.31</v>
      </c>
      <c r="J543" s="62"/>
      <c r="K543" s="62"/>
      <c r="L543" s="155"/>
    </row>
    <row r="544" spans="1:12" s="40" customFormat="1" ht="31.5" customHeight="1" x14ac:dyDescent="0.2">
      <c r="A544" s="91"/>
      <c r="B544" s="147"/>
      <c r="C544" s="147"/>
      <c r="D544" s="96"/>
      <c r="E544" s="100">
        <f>SUM(E482:E543)</f>
        <v>100846.43999999999</v>
      </c>
      <c r="F544" s="100">
        <f>SUM(F482:F543)</f>
        <v>485631.31999999989</v>
      </c>
      <c r="G544" s="100">
        <f>SUM(G482:G543)</f>
        <v>0</v>
      </c>
      <c r="H544" s="87">
        <f>SUM(H482:H543)</f>
        <v>586477.75999999989</v>
      </c>
      <c r="I544" s="87">
        <f>SUM(I482:I543)</f>
        <v>586477.75999999989</v>
      </c>
      <c r="J544" s="117"/>
      <c r="K544" s="64"/>
      <c r="L544" s="155"/>
    </row>
    <row r="545" spans="1:12" s="40" customFormat="1" ht="31.5" customHeight="1" x14ac:dyDescent="0.2">
      <c r="A545" s="66" t="s">
        <v>669</v>
      </c>
      <c r="B545" s="148"/>
      <c r="C545" s="147"/>
      <c r="D545" s="96"/>
      <c r="E545" s="22"/>
      <c r="F545" s="22"/>
      <c r="G545" s="22"/>
      <c r="H545" s="87"/>
      <c r="I545" s="77"/>
      <c r="J545" s="31"/>
      <c r="K545" s="41"/>
      <c r="L545" s="155"/>
    </row>
    <row r="546" spans="1:12" s="40" customFormat="1" ht="25.5" outlineLevel="1" x14ac:dyDescent="0.2">
      <c r="A546" s="131" t="s">
        <v>482</v>
      </c>
      <c r="B546" s="148">
        <v>42846</v>
      </c>
      <c r="C546" s="148">
        <v>43465</v>
      </c>
      <c r="D546" s="143">
        <v>10</v>
      </c>
      <c r="E546" s="103">
        <v>9240</v>
      </c>
      <c r="F546" s="99"/>
      <c r="G546" s="99"/>
      <c r="H546" s="77">
        <v>9240</v>
      </c>
      <c r="I546" s="77">
        <f t="shared" ref="I546:I557" si="54">H546</f>
        <v>9240</v>
      </c>
      <c r="J546" s="132"/>
      <c r="K546" s="41"/>
      <c r="L546" s="155"/>
    </row>
    <row r="547" spans="1:12" s="40" customFormat="1" ht="25.5" outlineLevel="1" x14ac:dyDescent="0.2">
      <c r="A547" s="131" t="s">
        <v>483</v>
      </c>
      <c r="B547" s="148">
        <v>42940</v>
      </c>
      <c r="C547" s="147">
        <v>43251</v>
      </c>
      <c r="D547" s="101">
        <v>80</v>
      </c>
      <c r="E547" s="103">
        <v>6010.51</v>
      </c>
      <c r="F547" s="103">
        <v>23015.67</v>
      </c>
      <c r="G547" s="99"/>
      <c r="H547" s="77">
        <v>29026.18</v>
      </c>
      <c r="I547" s="77">
        <f t="shared" si="54"/>
        <v>29026.18</v>
      </c>
      <c r="J547" s="132"/>
      <c r="K547" s="41"/>
      <c r="L547" s="155"/>
    </row>
    <row r="548" spans="1:12" s="40" customFormat="1" ht="39" customHeight="1" outlineLevel="1" x14ac:dyDescent="0.2">
      <c r="A548" s="131" t="s">
        <v>484</v>
      </c>
      <c r="B548" s="148">
        <v>42990</v>
      </c>
      <c r="C548" s="148">
        <v>43465</v>
      </c>
      <c r="D548" s="101">
        <v>10</v>
      </c>
      <c r="E548" s="103">
        <v>9158</v>
      </c>
      <c r="F548" s="99"/>
      <c r="G548" s="99"/>
      <c r="H548" s="77">
        <v>9158</v>
      </c>
      <c r="I548" s="77">
        <f t="shared" si="54"/>
        <v>9158</v>
      </c>
      <c r="J548" s="132"/>
      <c r="K548" s="41"/>
      <c r="L548" s="155"/>
    </row>
    <row r="549" spans="1:12" s="40" customFormat="1" ht="30.75" customHeight="1" outlineLevel="1" x14ac:dyDescent="0.2">
      <c r="A549" s="131" t="s">
        <v>485</v>
      </c>
      <c r="B549" s="148">
        <v>43061</v>
      </c>
      <c r="C549" s="148">
        <v>43465</v>
      </c>
      <c r="D549" s="101">
        <v>10</v>
      </c>
      <c r="E549" s="103">
        <v>37566</v>
      </c>
      <c r="F549" s="99"/>
      <c r="G549" s="99"/>
      <c r="H549" s="77">
        <v>37566</v>
      </c>
      <c r="I549" s="77">
        <f t="shared" si="54"/>
        <v>37566</v>
      </c>
      <c r="J549" s="132"/>
      <c r="K549" s="41"/>
      <c r="L549" s="155"/>
    </row>
    <row r="550" spans="1:12" s="40" customFormat="1" ht="30.75" customHeight="1" outlineLevel="1" x14ac:dyDescent="0.2">
      <c r="A550" s="131" t="s">
        <v>486</v>
      </c>
      <c r="B550" s="148">
        <v>43061</v>
      </c>
      <c r="C550" s="148">
        <v>43465</v>
      </c>
      <c r="D550" s="101">
        <v>10</v>
      </c>
      <c r="E550" s="103">
        <v>12237</v>
      </c>
      <c r="F550" s="99"/>
      <c r="G550" s="99"/>
      <c r="H550" s="77">
        <v>12237</v>
      </c>
      <c r="I550" s="77">
        <f t="shared" si="54"/>
        <v>12237</v>
      </c>
      <c r="J550" s="132"/>
      <c r="K550" s="41"/>
      <c r="L550" s="155"/>
    </row>
    <row r="551" spans="1:12" s="7" customFormat="1" ht="26.25" customHeight="1" outlineLevel="1" x14ac:dyDescent="0.2">
      <c r="A551" s="131" t="s">
        <v>487</v>
      </c>
      <c r="B551" s="148">
        <v>43066</v>
      </c>
      <c r="C551" s="148">
        <v>43465</v>
      </c>
      <c r="D551" s="96">
        <v>10</v>
      </c>
      <c r="E551" s="103">
        <v>22018</v>
      </c>
      <c r="F551" s="22"/>
      <c r="G551" s="22"/>
      <c r="H551" s="77">
        <v>22018</v>
      </c>
      <c r="I551" s="77">
        <f t="shared" si="54"/>
        <v>22018</v>
      </c>
      <c r="J551" s="31"/>
      <c r="K551" s="26"/>
      <c r="L551" s="155"/>
    </row>
    <row r="552" spans="1:12" s="40" customFormat="1" ht="30.75" customHeight="1" outlineLevel="1" x14ac:dyDescent="0.2">
      <c r="A552" s="131" t="s">
        <v>488</v>
      </c>
      <c r="B552" s="148" t="s">
        <v>489</v>
      </c>
      <c r="C552" s="147">
        <v>43251</v>
      </c>
      <c r="D552" s="96">
        <v>80</v>
      </c>
      <c r="E552" s="22">
        <v>11182</v>
      </c>
      <c r="F552" s="103">
        <v>27849.22</v>
      </c>
      <c r="G552" s="22"/>
      <c r="H552" s="77">
        <v>39031.22</v>
      </c>
      <c r="I552" s="77">
        <f t="shared" si="54"/>
        <v>39031.22</v>
      </c>
      <c r="J552" s="31"/>
      <c r="K552" s="41"/>
      <c r="L552" s="155"/>
    </row>
    <row r="553" spans="1:12" s="40" customFormat="1" ht="30.75" customHeight="1" outlineLevel="1" x14ac:dyDescent="0.2">
      <c r="A553" s="131" t="s">
        <v>665</v>
      </c>
      <c r="B553" s="148">
        <v>43157</v>
      </c>
      <c r="C553" s="148">
        <v>43465</v>
      </c>
      <c r="D553" s="96">
        <v>10</v>
      </c>
      <c r="E553" s="22">
        <v>18333</v>
      </c>
      <c r="F553" s="103"/>
      <c r="G553" s="22"/>
      <c r="H553" s="77">
        <v>18333</v>
      </c>
      <c r="I553" s="77">
        <f t="shared" si="54"/>
        <v>18333</v>
      </c>
      <c r="J553" s="31"/>
      <c r="K553" s="41"/>
      <c r="L553" s="155"/>
    </row>
    <row r="554" spans="1:12" s="40" customFormat="1" ht="30.75" customHeight="1" outlineLevel="1" x14ac:dyDescent="0.2">
      <c r="A554" s="131" t="s">
        <v>666</v>
      </c>
      <c r="B554" s="148">
        <v>43174</v>
      </c>
      <c r="C554" s="148">
        <v>43465</v>
      </c>
      <c r="D554" s="96">
        <v>10</v>
      </c>
      <c r="E554" s="22">
        <v>10223</v>
      </c>
      <c r="F554" s="103"/>
      <c r="G554" s="22"/>
      <c r="H554" s="77">
        <v>10223</v>
      </c>
      <c r="I554" s="77">
        <f t="shared" si="54"/>
        <v>10223</v>
      </c>
      <c r="J554" s="31"/>
      <c r="K554" s="41"/>
      <c r="L554" s="155"/>
    </row>
    <row r="555" spans="1:12" s="40" customFormat="1" ht="30.75" customHeight="1" outlineLevel="1" x14ac:dyDescent="0.2">
      <c r="A555" s="131" t="s">
        <v>667</v>
      </c>
      <c r="B555" s="148">
        <v>43109</v>
      </c>
      <c r="C555" s="148">
        <v>43465</v>
      </c>
      <c r="D555" s="96">
        <v>10</v>
      </c>
      <c r="E555" s="22">
        <v>21246</v>
      </c>
      <c r="F555" s="103"/>
      <c r="G555" s="22"/>
      <c r="H555" s="77">
        <v>21246</v>
      </c>
      <c r="I555" s="77">
        <f t="shared" si="54"/>
        <v>21246</v>
      </c>
      <c r="J555" s="31"/>
      <c r="K555" s="41"/>
      <c r="L555" s="155"/>
    </row>
    <row r="556" spans="1:12" s="40" customFormat="1" ht="30" customHeight="1" outlineLevel="1" x14ac:dyDescent="0.2">
      <c r="A556" s="131" t="s">
        <v>668</v>
      </c>
      <c r="B556" s="148">
        <v>43157</v>
      </c>
      <c r="C556" s="148">
        <v>43465</v>
      </c>
      <c r="D556" s="96">
        <v>10</v>
      </c>
      <c r="E556" s="22">
        <v>10661</v>
      </c>
      <c r="F556" s="103"/>
      <c r="G556" s="22"/>
      <c r="H556" s="77">
        <v>10661</v>
      </c>
      <c r="I556" s="77">
        <f t="shared" si="54"/>
        <v>10661</v>
      </c>
      <c r="J556" s="31"/>
      <c r="K556" s="41"/>
      <c r="L556" s="155"/>
    </row>
    <row r="557" spans="1:12" s="40" customFormat="1" ht="23.25" customHeight="1" outlineLevel="1" x14ac:dyDescent="0.2">
      <c r="A557" s="131" t="s">
        <v>490</v>
      </c>
      <c r="B557" s="148">
        <v>43046</v>
      </c>
      <c r="C557" s="148">
        <v>43465</v>
      </c>
      <c r="D557" s="96">
        <v>10</v>
      </c>
      <c r="E557" s="22">
        <v>45000</v>
      </c>
      <c r="F557" s="22"/>
      <c r="G557" s="22"/>
      <c r="H557" s="77">
        <v>45000</v>
      </c>
      <c r="I557" s="77">
        <f t="shared" si="54"/>
        <v>45000</v>
      </c>
      <c r="J557" s="31"/>
      <c r="K557" s="41"/>
      <c r="L557" s="155"/>
    </row>
    <row r="558" spans="1:12" s="40" customFormat="1" ht="30.75" customHeight="1" x14ac:dyDescent="0.2">
      <c r="A558" s="50"/>
      <c r="B558" s="147"/>
      <c r="C558" s="147"/>
      <c r="D558" s="96"/>
      <c r="E558" s="100">
        <f>SUM(E546:E557)</f>
        <v>212874.51</v>
      </c>
      <c r="F558" s="100">
        <f>SUM(F546:F557)</f>
        <v>50864.89</v>
      </c>
      <c r="G558" s="100">
        <f>SUM(G551:G557)</f>
        <v>0</v>
      </c>
      <c r="H558" s="87">
        <f>SUM(H546:H557)</f>
        <v>263739.40000000002</v>
      </c>
      <c r="I558" s="87">
        <f>SUM(I546:I557)</f>
        <v>263739.40000000002</v>
      </c>
      <c r="J558" s="85"/>
      <c r="K558" s="41"/>
      <c r="L558" s="155"/>
    </row>
    <row r="559" spans="1:12" s="7" customFormat="1" ht="26.25" customHeight="1" x14ac:dyDescent="0.2">
      <c r="A559" s="66" t="s">
        <v>672</v>
      </c>
      <c r="B559" s="147"/>
      <c r="C559" s="148"/>
      <c r="D559" s="101"/>
      <c r="E559" s="22"/>
      <c r="F559" s="103"/>
      <c r="G559" s="102"/>
      <c r="H559" s="52"/>
      <c r="I559" s="77"/>
      <c r="J559" s="31"/>
      <c r="K559" s="2"/>
      <c r="L559" s="155"/>
    </row>
    <row r="560" spans="1:12" ht="27.75" customHeight="1" outlineLevel="1" x14ac:dyDescent="0.2">
      <c r="A560" s="35" t="s">
        <v>670</v>
      </c>
      <c r="B560" s="148">
        <v>43131</v>
      </c>
      <c r="C560" s="147">
        <v>43281</v>
      </c>
      <c r="D560" s="96">
        <v>10</v>
      </c>
      <c r="E560" s="22"/>
      <c r="F560" s="22">
        <v>5054.74</v>
      </c>
      <c r="G560" s="22"/>
      <c r="H560" s="87">
        <f t="shared" ref="H560:H566" si="55">F560+E560+G560</f>
        <v>5054.74</v>
      </c>
      <c r="I560" s="77">
        <f>H560</f>
        <v>5054.74</v>
      </c>
      <c r="J560" s="31"/>
      <c r="K560" s="30"/>
      <c r="L560" s="155"/>
    </row>
    <row r="561" spans="1:12" ht="24" outlineLevel="1" x14ac:dyDescent="0.2">
      <c r="A561" s="35" t="s">
        <v>671</v>
      </c>
      <c r="B561" s="148">
        <v>43069</v>
      </c>
      <c r="C561" s="147">
        <v>43281</v>
      </c>
      <c r="D561" s="96">
        <v>88</v>
      </c>
      <c r="E561" s="22"/>
      <c r="F561" s="22">
        <v>31060.3</v>
      </c>
      <c r="G561" s="22"/>
      <c r="H561" s="87">
        <f t="shared" si="55"/>
        <v>31060.3</v>
      </c>
      <c r="I561" s="77">
        <f t="shared" ref="I561:I566" si="56">H561</f>
        <v>31060.3</v>
      </c>
      <c r="J561" s="31"/>
      <c r="K561" s="30"/>
      <c r="L561" s="155"/>
    </row>
    <row r="562" spans="1:12" ht="24" outlineLevel="1" x14ac:dyDescent="0.2">
      <c r="A562" s="35" t="s">
        <v>404</v>
      </c>
      <c r="B562" s="148">
        <v>42914</v>
      </c>
      <c r="C562" s="147">
        <v>43281</v>
      </c>
      <c r="D562" s="96">
        <v>80</v>
      </c>
      <c r="E562" s="22"/>
      <c r="F562" s="22">
        <v>31993.5</v>
      </c>
      <c r="G562" s="22">
        <v>15248.94</v>
      </c>
      <c r="H562" s="87">
        <f t="shared" si="55"/>
        <v>47242.44</v>
      </c>
      <c r="I562" s="77">
        <f t="shared" si="56"/>
        <v>47242.44</v>
      </c>
      <c r="J562" s="31"/>
      <c r="K562" s="30"/>
      <c r="L562" s="155"/>
    </row>
    <row r="563" spans="1:12" ht="24" outlineLevel="1" x14ac:dyDescent="0.2">
      <c r="A563" s="35" t="s">
        <v>405</v>
      </c>
      <c r="B563" s="148">
        <v>43009</v>
      </c>
      <c r="C563" s="147">
        <v>43281</v>
      </c>
      <c r="D563" s="96">
        <v>88</v>
      </c>
      <c r="E563" s="22">
        <v>27025.23</v>
      </c>
      <c r="F563" s="22">
        <v>131782.76999999999</v>
      </c>
      <c r="G563" s="22"/>
      <c r="H563" s="87">
        <f t="shared" si="55"/>
        <v>158808</v>
      </c>
      <c r="I563" s="77">
        <f t="shared" si="56"/>
        <v>158808</v>
      </c>
      <c r="J563" s="31"/>
      <c r="K563" s="30"/>
      <c r="L563" s="163"/>
    </row>
    <row r="564" spans="1:12" ht="24" outlineLevel="1" x14ac:dyDescent="0.2">
      <c r="A564" s="35" t="s">
        <v>406</v>
      </c>
      <c r="B564" s="148">
        <v>42855</v>
      </c>
      <c r="C564" s="147">
        <v>43281</v>
      </c>
      <c r="D564" s="96">
        <v>88</v>
      </c>
      <c r="E564" s="22">
        <v>4661.21</v>
      </c>
      <c r="F564" s="22">
        <v>25394.75</v>
      </c>
      <c r="G564" s="22"/>
      <c r="H564" s="87">
        <f t="shared" si="55"/>
        <v>30055.96</v>
      </c>
      <c r="I564" s="77">
        <f t="shared" si="56"/>
        <v>30055.96</v>
      </c>
      <c r="J564" s="31"/>
      <c r="K564" s="30"/>
      <c r="L564" s="155"/>
    </row>
    <row r="565" spans="1:12" outlineLevel="1" x14ac:dyDescent="0.2">
      <c r="A565" s="35" t="s">
        <v>407</v>
      </c>
      <c r="B565" s="148">
        <v>42853</v>
      </c>
      <c r="C565" s="147">
        <v>43220</v>
      </c>
      <c r="D565" s="96">
        <v>10</v>
      </c>
      <c r="E565" s="22"/>
      <c r="F565" s="22"/>
      <c r="G565" s="22">
        <v>20000</v>
      </c>
      <c r="H565" s="87">
        <f t="shared" si="55"/>
        <v>20000</v>
      </c>
      <c r="I565" s="77">
        <f t="shared" si="56"/>
        <v>20000</v>
      </c>
      <c r="J565" s="31"/>
      <c r="K565" s="30"/>
      <c r="L565" s="155"/>
    </row>
    <row r="566" spans="1:12" ht="15" outlineLevel="1" x14ac:dyDescent="0.2">
      <c r="A566" s="35" t="s">
        <v>408</v>
      </c>
      <c r="B566" s="148">
        <v>42986</v>
      </c>
      <c r="C566" s="147">
        <v>43281</v>
      </c>
      <c r="D566" s="96">
        <v>50</v>
      </c>
      <c r="E566" s="22"/>
      <c r="F566" s="22"/>
      <c r="G566" s="22">
        <v>82871.19</v>
      </c>
      <c r="H566" s="87">
        <f t="shared" si="55"/>
        <v>82871.19</v>
      </c>
      <c r="I566" s="77">
        <f t="shared" si="56"/>
        <v>82871.19</v>
      </c>
      <c r="J566" s="31"/>
      <c r="K566" s="30"/>
      <c r="L566" s="163"/>
    </row>
    <row r="567" spans="1:12" x14ac:dyDescent="0.2">
      <c r="A567" s="32"/>
      <c r="B567" s="147"/>
      <c r="C567" s="147"/>
      <c r="D567" s="96"/>
      <c r="E567" s="100">
        <f>SUM(E560:E566)</f>
        <v>31686.44</v>
      </c>
      <c r="F567" s="100">
        <f>SUM(F560:F566)</f>
        <v>225286.06</v>
      </c>
      <c r="G567" s="100">
        <f>SUM(G560:G566)</f>
        <v>118120.13</v>
      </c>
      <c r="H567" s="87">
        <f>SUM(H560:H566)</f>
        <v>375092.63</v>
      </c>
      <c r="I567" s="87">
        <f>SUM(I560:I566)</f>
        <v>375092.63</v>
      </c>
      <c r="J567" s="85"/>
      <c r="K567" s="20"/>
      <c r="L567" s="155"/>
    </row>
    <row r="568" spans="1:12" s="40" customFormat="1" ht="24" x14ac:dyDescent="0.2">
      <c r="A568" s="66" t="s">
        <v>749</v>
      </c>
      <c r="B568" s="147"/>
      <c r="C568" s="148"/>
      <c r="D568" s="101"/>
      <c r="E568" s="104"/>
      <c r="F568" s="104"/>
      <c r="G568" s="22"/>
      <c r="H568" s="52"/>
      <c r="I568" s="77"/>
      <c r="J568" s="22"/>
      <c r="K568" s="65"/>
      <c r="L568" s="155"/>
    </row>
    <row r="569" spans="1:12" s="40" customFormat="1" ht="27.75" customHeight="1" outlineLevel="1" x14ac:dyDescent="0.2">
      <c r="A569" s="89" t="s">
        <v>726</v>
      </c>
      <c r="B569" s="148">
        <v>43129</v>
      </c>
      <c r="C569" s="148">
        <v>43494</v>
      </c>
      <c r="D569" s="101">
        <v>50</v>
      </c>
      <c r="E569" s="104"/>
      <c r="F569" s="104">
        <v>844.04</v>
      </c>
      <c r="G569" s="22"/>
      <c r="H569" s="52">
        <v>844.04</v>
      </c>
      <c r="I569" s="52">
        <v>844.04</v>
      </c>
      <c r="J569" s="22"/>
      <c r="K569" s="65"/>
      <c r="L569" s="155"/>
    </row>
    <row r="570" spans="1:12" s="40" customFormat="1" ht="27.75" customHeight="1" outlineLevel="1" x14ac:dyDescent="0.2">
      <c r="A570" s="89" t="s">
        <v>727</v>
      </c>
      <c r="B570" s="148">
        <v>43123</v>
      </c>
      <c r="C570" s="148">
        <v>43488</v>
      </c>
      <c r="D570" s="101">
        <v>50</v>
      </c>
      <c r="E570" s="104"/>
      <c r="F570" s="104">
        <v>776.2</v>
      </c>
      <c r="G570" s="22"/>
      <c r="H570" s="52">
        <v>776.2</v>
      </c>
      <c r="I570" s="52">
        <v>776.2</v>
      </c>
      <c r="J570" s="22"/>
      <c r="K570" s="65"/>
      <c r="L570" s="155"/>
    </row>
    <row r="571" spans="1:12" s="40" customFormat="1" ht="27.75" customHeight="1" outlineLevel="1" x14ac:dyDescent="0.2">
      <c r="A571" s="89" t="s">
        <v>448</v>
      </c>
      <c r="B571" s="148">
        <v>42702</v>
      </c>
      <c r="C571" s="147">
        <v>43248</v>
      </c>
      <c r="D571" s="96">
        <v>80</v>
      </c>
      <c r="E571" s="104"/>
      <c r="F571" s="104">
        <v>844.04</v>
      </c>
      <c r="G571" s="22"/>
      <c r="H571" s="52">
        <v>844.04</v>
      </c>
      <c r="I571" s="52">
        <v>844.04</v>
      </c>
      <c r="J571" s="22"/>
      <c r="K571" s="65"/>
      <c r="L571" s="155"/>
    </row>
    <row r="572" spans="1:12" s="40" customFormat="1" ht="27.75" customHeight="1" outlineLevel="1" x14ac:dyDescent="0.2">
      <c r="A572" s="89" t="s">
        <v>728</v>
      </c>
      <c r="B572" s="148">
        <v>42871</v>
      </c>
      <c r="C572" s="148">
        <v>43236</v>
      </c>
      <c r="D572" s="101">
        <v>80</v>
      </c>
      <c r="E572" s="104"/>
      <c r="F572" s="104">
        <v>776.2</v>
      </c>
      <c r="G572" s="22"/>
      <c r="H572" s="52">
        <v>776.2</v>
      </c>
      <c r="I572" s="52">
        <v>776.2</v>
      </c>
      <c r="J572" s="22"/>
      <c r="K572" s="65"/>
      <c r="L572" s="155"/>
    </row>
    <row r="573" spans="1:12" s="40" customFormat="1" ht="27.75" customHeight="1" outlineLevel="1" x14ac:dyDescent="0.2">
      <c r="A573" s="89" t="s">
        <v>729</v>
      </c>
      <c r="B573" s="148">
        <v>43062</v>
      </c>
      <c r="C573" s="148">
        <v>43427</v>
      </c>
      <c r="D573" s="101">
        <v>60</v>
      </c>
      <c r="E573" s="104"/>
      <c r="F573" s="104">
        <v>844.04</v>
      </c>
      <c r="G573" s="22"/>
      <c r="H573" s="52">
        <v>844.04</v>
      </c>
      <c r="I573" s="52">
        <v>844.04</v>
      </c>
      <c r="J573" s="22"/>
      <c r="K573" s="65"/>
      <c r="L573" s="155"/>
    </row>
    <row r="574" spans="1:12" s="40" customFormat="1" ht="27.75" customHeight="1" outlineLevel="1" x14ac:dyDescent="0.2">
      <c r="A574" s="89" t="s">
        <v>258</v>
      </c>
      <c r="B574" s="148">
        <v>42955</v>
      </c>
      <c r="C574" s="147">
        <v>43465</v>
      </c>
      <c r="D574" s="96">
        <v>90</v>
      </c>
      <c r="E574" s="104"/>
      <c r="F574" s="104">
        <v>844.04</v>
      </c>
      <c r="G574" s="22"/>
      <c r="H574" s="52">
        <v>844.04</v>
      </c>
      <c r="I574" s="52">
        <v>844.04</v>
      </c>
      <c r="J574" s="22"/>
      <c r="K574" s="65"/>
      <c r="L574" s="155"/>
    </row>
    <row r="575" spans="1:12" s="40" customFormat="1" ht="27.75" customHeight="1" outlineLevel="1" x14ac:dyDescent="0.2">
      <c r="A575" s="89" t="s">
        <v>449</v>
      </c>
      <c r="B575" s="148">
        <v>43007</v>
      </c>
      <c r="C575" s="147">
        <v>43372</v>
      </c>
      <c r="D575" s="96">
        <v>60</v>
      </c>
      <c r="E575" s="104"/>
      <c r="F575" s="104">
        <v>844.04</v>
      </c>
      <c r="G575" s="22"/>
      <c r="H575" s="52">
        <v>844.04</v>
      </c>
      <c r="I575" s="52">
        <v>844.04</v>
      </c>
      <c r="J575" s="22"/>
      <c r="K575" s="65"/>
      <c r="L575" s="155"/>
    </row>
    <row r="576" spans="1:12" s="40" customFormat="1" ht="27.75" customHeight="1" outlineLevel="1" x14ac:dyDescent="0.2">
      <c r="A576" s="89" t="s">
        <v>730</v>
      </c>
      <c r="B576" s="148">
        <v>43063</v>
      </c>
      <c r="C576" s="148">
        <v>43428</v>
      </c>
      <c r="D576" s="101">
        <v>30</v>
      </c>
      <c r="E576" s="104"/>
      <c r="F576" s="104">
        <v>776.2</v>
      </c>
      <c r="G576" s="22"/>
      <c r="H576" s="52">
        <v>776.2</v>
      </c>
      <c r="I576" s="52">
        <v>776.2</v>
      </c>
      <c r="J576" s="22"/>
      <c r="K576" s="65"/>
      <c r="L576" s="155"/>
    </row>
    <row r="577" spans="1:12" s="40" customFormat="1" ht="23.25" customHeight="1" outlineLevel="1" x14ac:dyDescent="0.2">
      <c r="A577" s="89" t="s">
        <v>731</v>
      </c>
      <c r="B577" s="148">
        <v>43132</v>
      </c>
      <c r="C577" s="148">
        <v>43497</v>
      </c>
      <c r="D577" s="101">
        <v>30</v>
      </c>
      <c r="E577" s="104"/>
      <c r="F577" s="104">
        <v>776.2</v>
      </c>
      <c r="G577" s="22"/>
      <c r="H577" s="52">
        <v>776.2</v>
      </c>
      <c r="I577" s="52">
        <v>776.2</v>
      </c>
      <c r="J577" s="22"/>
      <c r="K577" s="65"/>
      <c r="L577" s="155"/>
    </row>
    <row r="578" spans="1:12" s="40" customFormat="1" ht="27.75" customHeight="1" outlineLevel="1" x14ac:dyDescent="0.2">
      <c r="A578" s="89" t="s">
        <v>259</v>
      </c>
      <c r="B578" s="148">
        <v>42984</v>
      </c>
      <c r="C578" s="147">
        <v>43165</v>
      </c>
      <c r="D578" s="96">
        <v>40</v>
      </c>
      <c r="E578" s="22"/>
      <c r="F578" s="104">
        <v>817.86</v>
      </c>
      <c r="G578" s="22"/>
      <c r="H578" s="52">
        <v>817.86</v>
      </c>
      <c r="I578" s="52">
        <v>817.86</v>
      </c>
      <c r="J578" s="22"/>
      <c r="K578" s="65"/>
      <c r="L578" s="163"/>
    </row>
    <row r="579" spans="1:12" s="40" customFormat="1" outlineLevel="1" x14ac:dyDescent="0.2">
      <c r="A579" s="89" t="s">
        <v>732</v>
      </c>
      <c r="B579" s="148">
        <v>43059</v>
      </c>
      <c r="C579" s="148">
        <v>43424</v>
      </c>
      <c r="D579" s="101">
        <v>50</v>
      </c>
      <c r="E579" s="104"/>
      <c r="F579" s="104">
        <v>776.2</v>
      </c>
      <c r="G579" s="22"/>
      <c r="H579" s="52">
        <v>776.2</v>
      </c>
      <c r="I579" s="52">
        <v>776.2</v>
      </c>
      <c r="J579" s="22"/>
      <c r="K579" s="65"/>
      <c r="L579" s="155"/>
    </row>
    <row r="580" spans="1:12" ht="30.75" customHeight="1" outlineLevel="1" x14ac:dyDescent="0.2">
      <c r="A580" s="89" t="s">
        <v>733</v>
      </c>
      <c r="B580" s="148">
        <v>43091</v>
      </c>
      <c r="C580" s="148">
        <v>43456</v>
      </c>
      <c r="D580" s="101">
        <v>40</v>
      </c>
      <c r="E580" s="104"/>
      <c r="F580" s="104">
        <v>776.2</v>
      </c>
      <c r="G580" s="22"/>
      <c r="H580" s="52">
        <v>776.2</v>
      </c>
      <c r="I580" s="52">
        <v>776.2</v>
      </c>
      <c r="J580" s="22"/>
      <c r="K580" s="65"/>
      <c r="L580" s="155"/>
    </row>
    <row r="581" spans="1:12" s="40" customFormat="1" ht="27.75" customHeight="1" outlineLevel="1" x14ac:dyDescent="0.2">
      <c r="A581" s="89" t="s">
        <v>734</v>
      </c>
      <c r="B581" s="148">
        <v>43152</v>
      </c>
      <c r="C581" s="148">
        <v>43517</v>
      </c>
      <c r="D581" s="101">
        <v>35</v>
      </c>
      <c r="E581" s="104"/>
      <c r="F581" s="104">
        <v>776.2</v>
      </c>
      <c r="G581" s="22"/>
      <c r="H581" s="52">
        <v>776.2</v>
      </c>
      <c r="I581" s="52">
        <v>776.2</v>
      </c>
      <c r="J581" s="22"/>
      <c r="K581" s="65"/>
      <c r="L581" s="155"/>
    </row>
    <row r="582" spans="1:12" s="40" customFormat="1" ht="24" outlineLevel="1" x14ac:dyDescent="0.2">
      <c r="A582" s="89" t="s">
        <v>63</v>
      </c>
      <c r="B582" s="148">
        <v>42130</v>
      </c>
      <c r="C582" s="147">
        <v>43464</v>
      </c>
      <c r="D582" s="96">
        <v>40</v>
      </c>
      <c r="E582" s="104"/>
      <c r="F582" s="104">
        <v>404075.52000000002</v>
      </c>
      <c r="G582" s="22"/>
      <c r="H582" s="52">
        <v>404075.52000000002</v>
      </c>
      <c r="I582" s="52">
        <v>404075.52000000002</v>
      </c>
      <c r="J582" s="22"/>
      <c r="K582" s="65"/>
      <c r="L582" s="155"/>
    </row>
    <row r="583" spans="1:12" s="40" customFormat="1" ht="24" outlineLevel="1" x14ac:dyDescent="0.2">
      <c r="A583" s="89" t="s">
        <v>260</v>
      </c>
      <c r="B583" s="148">
        <v>42886</v>
      </c>
      <c r="C583" s="147">
        <v>43465</v>
      </c>
      <c r="D583" s="96">
        <v>90</v>
      </c>
      <c r="E583" s="104"/>
      <c r="F583" s="104">
        <v>817.86</v>
      </c>
      <c r="G583" s="22"/>
      <c r="H583" s="52">
        <v>817.86</v>
      </c>
      <c r="I583" s="52">
        <v>817.86</v>
      </c>
      <c r="J583" s="22"/>
      <c r="K583" s="65"/>
      <c r="L583" s="155"/>
    </row>
    <row r="584" spans="1:12" s="40" customFormat="1" ht="24" outlineLevel="1" x14ac:dyDescent="0.2">
      <c r="A584" s="89" t="s">
        <v>261</v>
      </c>
      <c r="B584" s="148">
        <v>42886</v>
      </c>
      <c r="C584" s="147">
        <v>43251</v>
      </c>
      <c r="D584" s="96">
        <v>60</v>
      </c>
      <c r="E584" s="104"/>
      <c r="F584" s="104">
        <v>817.86</v>
      </c>
      <c r="G584" s="22"/>
      <c r="H584" s="52">
        <v>817.86</v>
      </c>
      <c r="I584" s="52">
        <v>817.86</v>
      </c>
      <c r="J584" s="22"/>
      <c r="K584" s="65"/>
      <c r="L584" s="155"/>
    </row>
    <row r="585" spans="1:12" s="40" customFormat="1" outlineLevel="1" x14ac:dyDescent="0.2">
      <c r="A585" s="89" t="s">
        <v>450</v>
      </c>
      <c r="B585" s="148">
        <v>43060</v>
      </c>
      <c r="C585" s="147">
        <v>43111</v>
      </c>
      <c r="D585" s="96">
        <v>90</v>
      </c>
      <c r="E585" s="104"/>
      <c r="F585" s="104">
        <v>844.04</v>
      </c>
      <c r="G585" s="22"/>
      <c r="H585" s="52">
        <v>844.04</v>
      </c>
      <c r="I585" s="52">
        <v>844.04</v>
      </c>
      <c r="J585" s="22"/>
      <c r="K585" s="65"/>
      <c r="L585" s="155"/>
    </row>
    <row r="586" spans="1:12" s="40" customFormat="1" ht="29.25" customHeight="1" outlineLevel="1" x14ac:dyDescent="0.2">
      <c r="A586" s="89" t="s">
        <v>735</v>
      </c>
      <c r="B586" s="148">
        <v>43151</v>
      </c>
      <c r="C586" s="148">
        <v>43516</v>
      </c>
      <c r="D586" s="101">
        <v>45</v>
      </c>
      <c r="E586" s="104"/>
      <c r="F586" s="104">
        <v>776.2</v>
      </c>
      <c r="G586" s="22"/>
      <c r="H586" s="52">
        <v>776.2</v>
      </c>
      <c r="I586" s="52">
        <v>776.2</v>
      </c>
      <c r="J586" s="22"/>
      <c r="K586" s="65"/>
      <c r="L586" s="155"/>
    </row>
    <row r="587" spans="1:12" s="40" customFormat="1" ht="24" outlineLevel="1" x14ac:dyDescent="0.2">
      <c r="A587" s="89" t="s">
        <v>736</v>
      </c>
      <c r="B587" s="148">
        <v>43151</v>
      </c>
      <c r="C587" s="148">
        <v>43516</v>
      </c>
      <c r="D587" s="101">
        <v>40</v>
      </c>
      <c r="E587" s="104"/>
      <c r="F587" s="104">
        <v>844.04</v>
      </c>
      <c r="G587" s="22"/>
      <c r="H587" s="52">
        <v>844.04</v>
      </c>
      <c r="I587" s="52">
        <v>844.04</v>
      </c>
      <c r="J587" s="22"/>
      <c r="K587" s="65"/>
      <c r="L587" s="163"/>
    </row>
    <row r="588" spans="1:12" s="40" customFormat="1" outlineLevel="1" x14ac:dyDescent="0.2">
      <c r="A588" s="89" t="s">
        <v>737</v>
      </c>
      <c r="B588" s="148">
        <v>43081</v>
      </c>
      <c r="C588" s="147">
        <v>43465</v>
      </c>
      <c r="D588" s="96">
        <v>90</v>
      </c>
      <c r="E588" s="104"/>
      <c r="F588" s="104">
        <v>844.04</v>
      </c>
      <c r="G588" s="22"/>
      <c r="H588" s="52">
        <v>844.04</v>
      </c>
      <c r="I588" s="52">
        <v>844.04</v>
      </c>
      <c r="J588" s="22"/>
      <c r="K588" s="65"/>
      <c r="L588" s="155"/>
    </row>
    <row r="589" spans="1:12" s="40" customFormat="1" ht="24" outlineLevel="1" x14ac:dyDescent="0.2">
      <c r="A589" s="89" t="s">
        <v>738</v>
      </c>
      <c r="B589" s="148">
        <v>42963</v>
      </c>
      <c r="C589" s="148">
        <v>43328</v>
      </c>
      <c r="D589" s="101">
        <v>80</v>
      </c>
      <c r="E589" s="104"/>
      <c r="F589" s="104">
        <v>844.04</v>
      </c>
      <c r="G589" s="22"/>
      <c r="H589" s="52">
        <v>844.04</v>
      </c>
      <c r="I589" s="52">
        <v>844.04</v>
      </c>
      <c r="J589" s="22"/>
      <c r="K589" s="65"/>
      <c r="L589" s="155"/>
    </row>
    <row r="590" spans="1:12" s="40" customFormat="1" ht="24" outlineLevel="1" x14ac:dyDescent="0.2">
      <c r="A590" s="89" t="s">
        <v>262</v>
      </c>
      <c r="B590" s="148">
        <v>42891</v>
      </c>
      <c r="C590" s="148">
        <v>43465</v>
      </c>
      <c r="D590" s="101">
        <v>90</v>
      </c>
      <c r="E590" s="22"/>
      <c r="F590" s="104">
        <v>844.04</v>
      </c>
      <c r="G590" s="22"/>
      <c r="H590" s="52">
        <v>844.04</v>
      </c>
      <c r="I590" s="52">
        <v>844.04</v>
      </c>
      <c r="J590" s="22"/>
      <c r="K590" s="65"/>
      <c r="L590" s="155"/>
    </row>
    <row r="591" spans="1:12" s="40" customFormat="1" outlineLevel="1" x14ac:dyDescent="0.2">
      <c r="A591" s="89" t="s">
        <v>451</v>
      </c>
      <c r="B591" s="148">
        <v>43027</v>
      </c>
      <c r="C591" s="147">
        <v>43392</v>
      </c>
      <c r="D591" s="101">
        <v>60</v>
      </c>
      <c r="E591" s="104"/>
      <c r="F591" s="104">
        <v>844.04</v>
      </c>
      <c r="G591" s="22"/>
      <c r="H591" s="52">
        <v>844.04</v>
      </c>
      <c r="I591" s="52">
        <v>844.04</v>
      </c>
      <c r="J591" s="22"/>
      <c r="K591" s="65"/>
      <c r="L591" s="155"/>
    </row>
    <row r="592" spans="1:12" s="40" customFormat="1" ht="30" customHeight="1" outlineLevel="1" x14ac:dyDescent="0.2">
      <c r="A592" s="89" t="s">
        <v>739</v>
      </c>
      <c r="B592" s="148">
        <v>42996</v>
      </c>
      <c r="C592" s="147">
        <v>43465</v>
      </c>
      <c r="D592" s="101">
        <v>90</v>
      </c>
      <c r="E592" s="104"/>
      <c r="F592" s="104">
        <v>844.04</v>
      </c>
      <c r="G592" s="22"/>
      <c r="H592" s="52">
        <v>844.04</v>
      </c>
      <c r="I592" s="52">
        <v>844.04</v>
      </c>
      <c r="J592" s="22"/>
      <c r="K592" s="65"/>
      <c r="L592" s="155"/>
    </row>
    <row r="593" spans="1:12" s="40" customFormat="1" ht="24" outlineLevel="1" x14ac:dyDescent="0.2">
      <c r="A593" s="89" t="s">
        <v>452</v>
      </c>
      <c r="B593" s="148">
        <v>43013</v>
      </c>
      <c r="C593" s="147">
        <v>43465</v>
      </c>
      <c r="D593" s="96">
        <v>90</v>
      </c>
      <c r="E593" s="104"/>
      <c r="F593" s="104">
        <v>844.04</v>
      </c>
      <c r="G593" s="22"/>
      <c r="H593" s="52">
        <v>844.04</v>
      </c>
      <c r="I593" s="52">
        <v>844.04</v>
      </c>
      <c r="J593" s="22"/>
      <c r="K593" s="65"/>
      <c r="L593" s="155"/>
    </row>
    <row r="594" spans="1:12" s="40" customFormat="1" ht="24" outlineLevel="1" x14ac:dyDescent="0.2">
      <c r="A594" s="89" t="s">
        <v>263</v>
      </c>
      <c r="B594" s="148">
        <v>42754</v>
      </c>
      <c r="C594" s="147">
        <v>43484</v>
      </c>
      <c r="D594" s="96">
        <v>50</v>
      </c>
      <c r="E594" s="22"/>
      <c r="F594" s="104">
        <v>817.86</v>
      </c>
      <c r="G594" s="22"/>
      <c r="H594" s="52">
        <v>817.86</v>
      </c>
      <c r="I594" s="52">
        <v>817.86</v>
      </c>
      <c r="J594" s="22"/>
      <c r="K594" s="65"/>
      <c r="L594" s="155"/>
    </row>
    <row r="595" spans="1:12" s="40" customFormat="1" outlineLevel="1" x14ac:dyDescent="0.2">
      <c r="A595" s="89" t="s">
        <v>740</v>
      </c>
      <c r="B595" s="148">
        <v>43094</v>
      </c>
      <c r="C595" s="148">
        <v>43459</v>
      </c>
      <c r="D595" s="101">
        <v>50</v>
      </c>
      <c r="E595" s="104"/>
      <c r="F595" s="104">
        <v>844.04</v>
      </c>
      <c r="G595" s="22"/>
      <c r="H595" s="52">
        <v>844.04</v>
      </c>
      <c r="I595" s="52">
        <v>844.04</v>
      </c>
      <c r="J595" s="22"/>
      <c r="K595" s="65"/>
      <c r="L595" s="155"/>
    </row>
    <row r="596" spans="1:12" s="40" customFormat="1" outlineLevel="1" x14ac:dyDescent="0.2">
      <c r="A596" s="89" t="s">
        <v>741</v>
      </c>
      <c r="B596" s="148">
        <v>43006</v>
      </c>
      <c r="C596" s="148">
        <v>43552</v>
      </c>
      <c r="D596" s="101">
        <v>40</v>
      </c>
      <c r="E596" s="104">
        <v>6951.27</v>
      </c>
      <c r="F596" s="104"/>
      <c r="G596" s="22"/>
      <c r="H596" s="52">
        <v>6951.27</v>
      </c>
      <c r="I596" s="52">
        <v>6951.27</v>
      </c>
      <c r="J596" s="22"/>
      <c r="K596" s="65"/>
      <c r="L596" s="155"/>
    </row>
    <row r="597" spans="1:12" s="40" customFormat="1" outlineLevel="1" x14ac:dyDescent="0.2">
      <c r="A597" s="89" t="s">
        <v>742</v>
      </c>
      <c r="B597" s="148">
        <v>43130</v>
      </c>
      <c r="C597" s="148">
        <v>43495</v>
      </c>
      <c r="D597" s="101">
        <v>45</v>
      </c>
      <c r="E597" s="104"/>
      <c r="F597" s="104">
        <v>776.2</v>
      </c>
      <c r="G597" s="22"/>
      <c r="H597" s="52">
        <v>776.2</v>
      </c>
      <c r="I597" s="52">
        <v>776.2</v>
      </c>
      <c r="J597" s="22"/>
      <c r="K597" s="65"/>
      <c r="L597" s="155"/>
    </row>
    <row r="598" spans="1:12" s="40" customFormat="1" ht="39" customHeight="1" outlineLevel="1" x14ac:dyDescent="0.2">
      <c r="A598" s="89" t="s">
        <v>453</v>
      </c>
      <c r="B598" s="148">
        <v>43012</v>
      </c>
      <c r="C598" s="147">
        <v>43377</v>
      </c>
      <c r="D598" s="96">
        <v>70</v>
      </c>
      <c r="E598" s="104"/>
      <c r="F598" s="104">
        <v>844.04</v>
      </c>
      <c r="G598" s="22"/>
      <c r="H598" s="52">
        <v>844.04</v>
      </c>
      <c r="I598" s="52">
        <v>844.04</v>
      </c>
      <c r="J598" s="22"/>
      <c r="K598" s="65"/>
      <c r="L598" s="155"/>
    </row>
    <row r="599" spans="1:12" s="40" customFormat="1" outlineLevel="1" x14ac:dyDescent="0.2">
      <c r="A599" s="89" t="s">
        <v>743</v>
      </c>
      <c r="B599" s="148">
        <v>43116</v>
      </c>
      <c r="C599" s="148">
        <v>43481</v>
      </c>
      <c r="D599" s="101">
        <v>50</v>
      </c>
      <c r="E599" s="104"/>
      <c r="F599" s="104">
        <v>776.2</v>
      </c>
      <c r="G599" s="22"/>
      <c r="H599" s="52">
        <v>776.2</v>
      </c>
      <c r="I599" s="52">
        <v>776.2</v>
      </c>
      <c r="J599" s="22"/>
      <c r="K599" s="65"/>
      <c r="L599" s="155"/>
    </row>
    <row r="600" spans="1:12" s="40" customFormat="1" ht="24" outlineLevel="1" x14ac:dyDescent="0.2">
      <c r="A600" s="89" t="s">
        <v>65</v>
      </c>
      <c r="B600" s="148">
        <v>42458</v>
      </c>
      <c r="C600" s="148">
        <v>43552</v>
      </c>
      <c r="D600" s="101">
        <v>30</v>
      </c>
      <c r="E600" s="104"/>
      <c r="F600" s="104">
        <v>4820.46</v>
      </c>
      <c r="G600" s="22"/>
      <c r="H600" s="52">
        <v>4820.46</v>
      </c>
      <c r="I600" s="52">
        <v>4820.46</v>
      </c>
      <c r="J600" s="22"/>
      <c r="K600" s="65"/>
      <c r="L600" s="155"/>
    </row>
    <row r="601" spans="1:12" s="40" customFormat="1" ht="21" customHeight="1" outlineLevel="1" x14ac:dyDescent="0.2">
      <c r="A601" s="89" t="s">
        <v>455</v>
      </c>
      <c r="B601" s="148">
        <v>42909</v>
      </c>
      <c r="C601" s="147">
        <v>43457</v>
      </c>
      <c r="D601" s="96">
        <v>40</v>
      </c>
      <c r="E601" s="104">
        <v>19534.78</v>
      </c>
      <c r="F601" s="104"/>
      <c r="G601" s="22"/>
      <c r="H601" s="52">
        <v>19534.78</v>
      </c>
      <c r="I601" s="52">
        <v>19534.78</v>
      </c>
      <c r="J601" s="22"/>
      <c r="K601" s="65"/>
      <c r="L601" s="155"/>
    </row>
    <row r="602" spans="1:12" s="40" customFormat="1" ht="29.25" customHeight="1" outlineLevel="1" x14ac:dyDescent="0.2">
      <c r="A602" s="89" t="s">
        <v>744</v>
      </c>
      <c r="B602" s="148">
        <v>42664</v>
      </c>
      <c r="C602" s="148">
        <v>43465</v>
      </c>
      <c r="D602" s="101">
        <v>90</v>
      </c>
      <c r="E602" s="104"/>
      <c r="F602" s="104">
        <v>776.2</v>
      </c>
      <c r="G602" s="22"/>
      <c r="H602" s="52">
        <v>776.2</v>
      </c>
      <c r="I602" s="52">
        <v>776.2</v>
      </c>
      <c r="J602" s="22"/>
      <c r="K602" s="65"/>
      <c r="L602" s="155"/>
    </row>
    <row r="603" spans="1:12" s="40" customFormat="1" ht="29.25" customHeight="1" outlineLevel="1" x14ac:dyDescent="0.2">
      <c r="A603" s="89" t="s">
        <v>264</v>
      </c>
      <c r="B603" s="148">
        <v>42537</v>
      </c>
      <c r="C603" s="148">
        <v>43540</v>
      </c>
      <c r="D603" s="101">
        <v>30</v>
      </c>
      <c r="E603" s="104"/>
      <c r="F603" s="104">
        <v>104930.98</v>
      </c>
      <c r="G603" s="22"/>
      <c r="H603" s="52">
        <v>104930.98</v>
      </c>
      <c r="I603" s="52">
        <v>104930.98</v>
      </c>
      <c r="J603" s="22"/>
      <c r="K603" s="65"/>
      <c r="L603" s="155"/>
    </row>
    <row r="604" spans="1:12" s="40" customFormat="1" ht="44.25" customHeight="1" outlineLevel="1" x14ac:dyDescent="0.2">
      <c r="A604" s="89" t="s">
        <v>745</v>
      </c>
      <c r="B604" s="148">
        <v>43116</v>
      </c>
      <c r="C604" s="148">
        <v>43481</v>
      </c>
      <c r="D604" s="101">
        <v>25</v>
      </c>
      <c r="E604" s="104"/>
      <c r="F604" s="104">
        <v>1688.08</v>
      </c>
      <c r="G604" s="22"/>
      <c r="H604" s="52">
        <v>1688.08</v>
      </c>
      <c r="I604" s="52">
        <v>1688.08</v>
      </c>
      <c r="J604" s="22"/>
      <c r="K604" s="65"/>
      <c r="L604" s="155"/>
    </row>
    <row r="605" spans="1:12" s="40" customFormat="1" ht="35.25" customHeight="1" outlineLevel="1" x14ac:dyDescent="0.2">
      <c r="A605" s="89" t="s">
        <v>456</v>
      </c>
      <c r="B605" s="148">
        <v>42917</v>
      </c>
      <c r="C605" s="148">
        <v>43465</v>
      </c>
      <c r="D605" s="101">
        <v>90</v>
      </c>
      <c r="E605" s="104"/>
      <c r="F605" s="104">
        <v>167.56</v>
      </c>
      <c r="G605" s="22"/>
      <c r="H605" s="52">
        <v>167.56</v>
      </c>
      <c r="I605" s="77">
        <v>167.56</v>
      </c>
      <c r="J605" s="22"/>
      <c r="K605" s="65"/>
      <c r="L605" s="155"/>
    </row>
    <row r="606" spans="1:12" s="40" customFormat="1" ht="24" outlineLevel="1" x14ac:dyDescent="0.2">
      <c r="A606" s="89" t="s">
        <v>265</v>
      </c>
      <c r="B606" s="148">
        <v>42549</v>
      </c>
      <c r="C606" s="148">
        <v>43465</v>
      </c>
      <c r="D606" s="101">
        <v>90</v>
      </c>
      <c r="E606" s="104">
        <v>10613.69</v>
      </c>
      <c r="F606" s="104"/>
      <c r="G606" s="22"/>
      <c r="H606" s="52">
        <v>10613.69</v>
      </c>
      <c r="I606" s="52">
        <v>10613.69</v>
      </c>
      <c r="J606" s="22"/>
      <c r="K606" s="65"/>
      <c r="L606" s="155"/>
    </row>
    <row r="607" spans="1:12" s="40" customFormat="1" ht="27.75" customHeight="1" outlineLevel="1" x14ac:dyDescent="0.2">
      <c r="A607" s="89" t="s">
        <v>266</v>
      </c>
      <c r="B607" s="148">
        <v>42760</v>
      </c>
      <c r="C607" s="148">
        <v>43465</v>
      </c>
      <c r="D607" s="101">
        <v>90</v>
      </c>
      <c r="E607" s="104">
        <v>11085.18</v>
      </c>
      <c r="F607" s="104"/>
      <c r="G607" s="22"/>
      <c r="H607" s="52">
        <v>11085.18</v>
      </c>
      <c r="I607" s="52">
        <v>11085.18</v>
      </c>
      <c r="J607" s="22"/>
      <c r="K607" s="65"/>
      <c r="L607" s="155"/>
    </row>
    <row r="608" spans="1:12" ht="24" outlineLevel="1" x14ac:dyDescent="0.2">
      <c r="A608" s="89" t="s">
        <v>134</v>
      </c>
      <c r="B608" s="148">
        <v>42670</v>
      </c>
      <c r="C608" s="147">
        <v>43465</v>
      </c>
      <c r="D608" s="96">
        <v>90</v>
      </c>
      <c r="E608" s="100"/>
      <c r="F608" s="22">
        <v>4638.26</v>
      </c>
      <c r="G608" s="100"/>
      <c r="H608" s="87">
        <v>4638.26</v>
      </c>
      <c r="I608" s="87">
        <v>4638.26</v>
      </c>
      <c r="J608" s="78"/>
      <c r="K608" s="63"/>
      <c r="L608" s="155"/>
    </row>
    <row r="609" spans="1:12" ht="24" outlineLevel="1" x14ac:dyDescent="0.2">
      <c r="A609" s="89" t="s">
        <v>2</v>
      </c>
      <c r="B609" s="148">
        <v>42254</v>
      </c>
      <c r="C609" s="147">
        <v>43350</v>
      </c>
      <c r="D609" s="96">
        <v>60</v>
      </c>
      <c r="E609" s="100"/>
      <c r="F609" s="103">
        <v>8918.81</v>
      </c>
      <c r="G609" s="100"/>
      <c r="H609" s="87">
        <v>8918.81</v>
      </c>
      <c r="I609" s="87">
        <v>8918.81</v>
      </c>
      <c r="J609" s="63"/>
      <c r="K609" s="63"/>
      <c r="L609" s="155"/>
    </row>
    <row r="610" spans="1:12" ht="24" outlineLevel="1" x14ac:dyDescent="0.2">
      <c r="A610" s="89" t="s">
        <v>3</v>
      </c>
      <c r="B610" s="148">
        <v>42234</v>
      </c>
      <c r="C610" s="147">
        <v>43371</v>
      </c>
      <c r="D610" s="96">
        <v>50</v>
      </c>
      <c r="E610" s="100"/>
      <c r="F610" s="103">
        <v>8263.65</v>
      </c>
      <c r="G610" s="100"/>
      <c r="H610" s="87">
        <v>8263.65</v>
      </c>
      <c r="I610" s="87">
        <v>8263.65</v>
      </c>
      <c r="J610" s="63"/>
      <c r="K610" s="63"/>
      <c r="L610" s="155"/>
    </row>
    <row r="611" spans="1:12" ht="24" outlineLevel="1" x14ac:dyDescent="0.2">
      <c r="A611" s="89" t="s">
        <v>64</v>
      </c>
      <c r="B611" s="148">
        <v>42382</v>
      </c>
      <c r="C611" s="147">
        <v>43478</v>
      </c>
      <c r="D611" s="96">
        <v>60</v>
      </c>
      <c r="E611" s="100"/>
      <c r="F611" s="103">
        <v>5623.87</v>
      </c>
      <c r="G611" s="100"/>
      <c r="H611" s="87">
        <v>5623.87</v>
      </c>
      <c r="I611" s="87">
        <v>5623.87</v>
      </c>
      <c r="J611" s="63"/>
      <c r="K611" s="63"/>
      <c r="L611" s="155"/>
    </row>
    <row r="612" spans="1:12" ht="33.75" customHeight="1" outlineLevel="1" x14ac:dyDescent="0.2">
      <c r="A612" s="89" t="s">
        <v>4</v>
      </c>
      <c r="B612" s="148">
        <v>42248</v>
      </c>
      <c r="C612" s="147">
        <v>43344</v>
      </c>
      <c r="D612" s="96">
        <v>60</v>
      </c>
      <c r="E612" s="100"/>
      <c r="F612" s="103">
        <v>8263.65</v>
      </c>
      <c r="G612" s="100"/>
      <c r="H612" s="87">
        <v>8263.65</v>
      </c>
      <c r="I612" s="87">
        <v>8263.65</v>
      </c>
      <c r="J612" s="63"/>
      <c r="K612" s="63"/>
      <c r="L612" s="155"/>
    </row>
    <row r="613" spans="1:12" ht="24" outlineLevel="1" x14ac:dyDescent="0.2">
      <c r="A613" s="89" t="s">
        <v>746</v>
      </c>
      <c r="B613" s="148">
        <v>42234</v>
      </c>
      <c r="C613" s="147">
        <v>43465</v>
      </c>
      <c r="D613" s="96">
        <v>70</v>
      </c>
      <c r="E613" s="22"/>
      <c r="F613" s="22">
        <v>4046.07</v>
      </c>
      <c r="G613" s="100"/>
      <c r="H613" s="87">
        <v>4046.07</v>
      </c>
      <c r="I613" s="87">
        <v>4046.07</v>
      </c>
      <c r="J613" s="63"/>
      <c r="K613" s="63"/>
      <c r="L613" s="155"/>
    </row>
    <row r="614" spans="1:12" ht="24" outlineLevel="1" x14ac:dyDescent="0.2">
      <c r="A614" s="89" t="s">
        <v>747</v>
      </c>
      <c r="B614" s="148">
        <v>42262</v>
      </c>
      <c r="C614" s="147">
        <v>43465</v>
      </c>
      <c r="D614" s="96">
        <v>70</v>
      </c>
      <c r="E614" s="22">
        <v>3493.44</v>
      </c>
      <c r="F614" s="103"/>
      <c r="G614" s="100"/>
      <c r="H614" s="87">
        <v>3493.44</v>
      </c>
      <c r="I614" s="87">
        <v>3493.44</v>
      </c>
      <c r="J614" s="63"/>
      <c r="K614" s="63"/>
      <c r="L614" s="155"/>
    </row>
    <row r="615" spans="1:12" ht="15" outlineLevel="1" x14ac:dyDescent="0.2">
      <c r="A615" s="89" t="s">
        <v>454</v>
      </c>
      <c r="B615" s="148">
        <v>43011</v>
      </c>
      <c r="C615" s="147">
        <v>43376</v>
      </c>
      <c r="D615" s="96">
        <v>50</v>
      </c>
      <c r="E615" s="22">
        <v>844.04</v>
      </c>
      <c r="F615" s="22"/>
      <c r="G615" s="100"/>
      <c r="H615" s="87">
        <v>844.04</v>
      </c>
      <c r="I615" s="87">
        <v>844.04</v>
      </c>
      <c r="J615" s="63"/>
      <c r="K615" s="63"/>
      <c r="L615" s="155"/>
    </row>
    <row r="616" spans="1:12" ht="24" outlineLevel="1" x14ac:dyDescent="0.2">
      <c r="A616" s="89" t="s">
        <v>748</v>
      </c>
      <c r="B616" s="148">
        <v>42101</v>
      </c>
      <c r="C616" s="147">
        <v>43554</v>
      </c>
      <c r="D616" s="96">
        <v>60</v>
      </c>
      <c r="E616" s="22">
        <v>31911.81</v>
      </c>
      <c r="F616" s="103">
        <v>12040.39</v>
      </c>
      <c r="G616" s="100"/>
      <c r="H616" s="87">
        <v>43952.2</v>
      </c>
      <c r="I616" s="87">
        <v>43952.2</v>
      </c>
      <c r="J616" s="63"/>
      <c r="K616" s="63"/>
      <c r="L616" s="155"/>
    </row>
    <row r="617" spans="1:12" x14ac:dyDescent="0.2">
      <c r="A617" s="91"/>
      <c r="B617" s="147"/>
      <c r="C617" s="147"/>
      <c r="D617" s="96"/>
      <c r="E617" s="100">
        <f>SUM(E569:E616)</f>
        <v>84434.21</v>
      </c>
      <c r="F617" s="100">
        <f>SUM(F569:F616)</f>
        <v>591947.53999999992</v>
      </c>
      <c r="G617" s="100">
        <f>SUM(G568:G607)</f>
        <v>0</v>
      </c>
      <c r="H617" s="87">
        <f>SUM(H569:H616)</f>
        <v>676381.74999999988</v>
      </c>
      <c r="I617" s="87">
        <f>SUM(I569:I616)</f>
        <v>676381.74999999988</v>
      </c>
      <c r="J617" s="117"/>
      <c r="K617" s="64"/>
      <c r="L617" s="155"/>
    </row>
    <row r="618" spans="1:12" x14ac:dyDescent="0.2">
      <c r="A618" s="29"/>
      <c r="B618" s="147"/>
      <c r="C618" s="147"/>
      <c r="D618" s="96"/>
      <c r="E618" s="22"/>
      <c r="F618" s="22"/>
      <c r="G618" s="22"/>
      <c r="H618" s="87"/>
      <c r="I618" s="87"/>
      <c r="J618" s="119"/>
      <c r="K618" s="28"/>
      <c r="L618" s="155"/>
    </row>
    <row r="619" spans="1:12" s="82" customFormat="1" ht="24" x14ac:dyDescent="0.2">
      <c r="A619" s="66" t="s">
        <v>1083</v>
      </c>
      <c r="B619" s="147"/>
      <c r="C619" s="147"/>
      <c r="D619" s="96"/>
      <c r="E619" s="100"/>
      <c r="F619" s="100"/>
      <c r="G619" s="100"/>
      <c r="H619" s="87"/>
      <c r="I619" s="87"/>
      <c r="J619" s="117"/>
      <c r="K619" s="64"/>
      <c r="L619" s="155"/>
    </row>
    <row r="620" spans="1:12" s="82" customFormat="1" ht="24" outlineLevel="1" x14ac:dyDescent="0.2">
      <c r="A620" s="29" t="s">
        <v>771</v>
      </c>
      <c r="B620" s="147"/>
      <c r="C620" s="147"/>
      <c r="D620" s="96"/>
      <c r="E620" s="103">
        <v>30468.66</v>
      </c>
      <c r="F620" s="103">
        <v>11400.96</v>
      </c>
      <c r="G620" s="22">
        <v>0</v>
      </c>
      <c r="H620" s="87">
        <f>E620+F620+G620</f>
        <v>41869.619999999995</v>
      </c>
      <c r="I620" s="87">
        <f>H620</f>
        <v>41869.619999999995</v>
      </c>
      <c r="J620" s="117"/>
      <c r="K620" s="64"/>
      <c r="L620" s="155"/>
    </row>
    <row r="621" spans="1:12" s="82" customFormat="1" outlineLevel="1" x14ac:dyDescent="0.2">
      <c r="A621" s="133" t="s">
        <v>772</v>
      </c>
      <c r="B621" s="147">
        <v>42971</v>
      </c>
      <c r="C621" s="147">
        <v>43465</v>
      </c>
      <c r="D621" s="96">
        <v>50</v>
      </c>
      <c r="E621" s="22">
        <v>0</v>
      </c>
      <c r="F621" s="22">
        <v>8963.49</v>
      </c>
      <c r="G621" s="22">
        <v>0</v>
      </c>
      <c r="H621" s="87">
        <f t="shared" ref="H621:H684" si="57">E621+F621+G621</f>
        <v>8963.49</v>
      </c>
      <c r="I621" s="87">
        <f t="shared" ref="I621:I684" si="58">H621</f>
        <v>8963.49</v>
      </c>
      <c r="J621" s="119"/>
      <c r="K621" s="83"/>
      <c r="L621" s="155"/>
    </row>
    <row r="622" spans="1:12" s="82" customFormat="1" outlineLevel="1" x14ac:dyDescent="0.2">
      <c r="A622" s="133" t="s">
        <v>773</v>
      </c>
      <c r="B622" s="147">
        <v>43054</v>
      </c>
      <c r="C622" s="147">
        <v>43151</v>
      </c>
      <c r="D622" s="96">
        <v>95</v>
      </c>
      <c r="E622" s="22">
        <v>39163.919999999998</v>
      </c>
      <c r="F622" s="22">
        <v>8792.09</v>
      </c>
      <c r="G622" s="22">
        <v>0</v>
      </c>
      <c r="H622" s="87">
        <f t="shared" si="57"/>
        <v>47956.009999999995</v>
      </c>
      <c r="I622" s="87">
        <f t="shared" si="58"/>
        <v>47956.009999999995</v>
      </c>
      <c r="J622" s="119"/>
      <c r="K622" s="83"/>
      <c r="L622" s="155"/>
    </row>
    <row r="623" spans="1:12" s="82" customFormat="1" outlineLevel="1" x14ac:dyDescent="0.2">
      <c r="A623" s="133" t="s">
        <v>774</v>
      </c>
      <c r="B623" s="147">
        <v>43125</v>
      </c>
      <c r="C623" s="147">
        <v>43465</v>
      </c>
      <c r="D623" s="96">
        <v>30</v>
      </c>
      <c r="E623" s="22">
        <v>0</v>
      </c>
      <c r="F623" s="22">
        <v>10987.61</v>
      </c>
      <c r="G623" s="22">
        <v>0</v>
      </c>
      <c r="H623" s="87">
        <f t="shared" si="57"/>
        <v>10987.61</v>
      </c>
      <c r="I623" s="87">
        <f t="shared" si="58"/>
        <v>10987.61</v>
      </c>
      <c r="J623" s="119"/>
      <c r="K623" s="83"/>
      <c r="L623" s="155"/>
    </row>
    <row r="624" spans="1:12" s="82" customFormat="1" outlineLevel="1" x14ac:dyDescent="0.2">
      <c r="A624" s="134" t="s">
        <v>775</v>
      </c>
      <c r="B624" s="147">
        <v>43084</v>
      </c>
      <c r="C624" s="147">
        <v>43465</v>
      </c>
      <c r="D624" s="96">
        <v>60</v>
      </c>
      <c r="E624" s="103">
        <v>29322.92</v>
      </c>
      <c r="F624" s="103">
        <v>11652.97</v>
      </c>
      <c r="G624" s="22">
        <v>0</v>
      </c>
      <c r="H624" s="87">
        <f t="shared" si="57"/>
        <v>40975.89</v>
      </c>
      <c r="I624" s="87">
        <f t="shared" si="58"/>
        <v>40975.89</v>
      </c>
      <c r="J624" s="119"/>
      <c r="K624" s="83"/>
      <c r="L624" s="155"/>
    </row>
    <row r="625" spans="1:12" s="82" customFormat="1" outlineLevel="1" x14ac:dyDescent="0.2">
      <c r="A625" s="134" t="s">
        <v>776</v>
      </c>
      <c r="B625" s="147">
        <v>43095</v>
      </c>
      <c r="C625" s="147">
        <v>43465</v>
      </c>
      <c r="D625" s="96">
        <v>70</v>
      </c>
      <c r="E625" s="22">
        <v>41719.5</v>
      </c>
      <c r="F625" s="22">
        <v>6953</v>
      </c>
      <c r="G625" s="22">
        <v>0</v>
      </c>
      <c r="H625" s="87">
        <f t="shared" si="57"/>
        <v>48672.5</v>
      </c>
      <c r="I625" s="87">
        <f t="shared" si="58"/>
        <v>48672.5</v>
      </c>
      <c r="J625" s="119"/>
      <c r="K625" s="83"/>
      <c r="L625" s="155"/>
    </row>
    <row r="626" spans="1:12" s="82" customFormat="1" outlineLevel="1" x14ac:dyDescent="0.2">
      <c r="A626" s="133" t="s">
        <v>777</v>
      </c>
      <c r="B626" s="147">
        <v>43083</v>
      </c>
      <c r="C626" s="147">
        <v>43180</v>
      </c>
      <c r="D626" s="96">
        <v>95</v>
      </c>
      <c r="E626" s="22">
        <v>44942.37</v>
      </c>
      <c r="F626" s="22">
        <v>6953</v>
      </c>
      <c r="G626" s="22">
        <v>0</v>
      </c>
      <c r="H626" s="87">
        <f t="shared" si="57"/>
        <v>51895.37</v>
      </c>
      <c r="I626" s="87">
        <f t="shared" si="58"/>
        <v>51895.37</v>
      </c>
      <c r="J626" s="119"/>
      <c r="K626" s="83"/>
      <c r="L626" s="155"/>
    </row>
    <row r="627" spans="1:12" s="82" customFormat="1" outlineLevel="1" x14ac:dyDescent="0.2">
      <c r="A627" s="133" t="s">
        <v>778</v>
      </c>
      <c r="B627" s="147">
        <v>43095</v>
      </c>
      <c r="C627" s="147">
        <v>43465</v>
      </c>
      <c r="D627" s="96">
        <v>70</v>
      </c>
      <c r="E627" s="22">
        <v>45659.32</v>
      </c>
      <c r="F627" s="22">
        <v>6953</v>
      </c>
      <c r="G627" s="22">
        <v>0</v>
      </c>
      <c r="H627" s="87">
        <f t="shared" si="57"/>
        <v>52612.32</v>
      </c>
      <c r="I627" s="87">
        <f t="shared" si="58"/>
        <v>52612.32</v>
      </c>
      <c r="J627" s="119"/>
      <c r="K627" s="83"/>
      <c r="L627" s="155"/>
    </row>
    <row r="628" spans="1:12" s="82" customFormat="1" outlineLevel="1" x14ac:dyDescent="0.2">
      <c r="A628" s="133" t="s">
        <v>779</v>
      </c>
      <c r="B628" s="147"/>
      <c r="C628" s="147">
        <v>43465</v>
      </c>
      <c r="D628" s="96"/>
      <c r="E628" s="22">
        <v>47443.22</v>
      </c>
      <c r="F628" s="22">
        <v>6953</v>
      </c>
      <c r="G628" s="22">
        <v>0</v>
      </c>
      <c r="H628" s="87">
        <f t="shared" si="57"/>
        <v>54396.22</v>
      </c>
      <c r="I628" s="87">
        <f t="shared" si="58"/>
        <v>54396.22</v>
      </c>
      <c r="J628" s="119"/>
      <c r="K628" s="83"/>
      <c r="L628" s="155"/>
    </row>
    <row r="629" spans="1:12" s="82" customFormat="1" outlineLevel="1" x14ac:dyDescent="0.2">
      <c r="A629" s="133" t="s">
        <v>780</v>
      </c>
      <c r="B629" s="147">
        <v>43067</v>
      </c>
      <c r="C629" s="147">
        <v>43465</v>
      </c>
      <c r="D629" s="96">
        <v>70</v>
      </c>
      <c r="E629" s="22">
        <v>43944.07</v>
      </c>
      <c r="F629" s="22">
        <v>6953</v>
      </c>
      <c r="G629" s="22">
        <v>0</v>
      </c>
      <c r="H629" s="87">
        <f t="shared" si="57"/>
        <v>50897.07</v>
      </c>
      <c r="I629" s="87">
        <f t="shared" si="58"/>
        <v>50897.07</v>
      </c>
      <c r="J629" s="119"/>
      <c r="K629" s="83"/>
      <c r="L629" s="155"/>
    </row>
    <row r="630" spans="1:12" s="82" customFormat="1" outlineLevel="1" x14ac:dyDescent="0.2">
      <c r="A630" s="133" t="s">
        <v>781</v>
      </c>
      <c r="B630" s="147">
        <v>43067</v>
      </c>
      <c r="C630" s="147">
        <v>43465</v>
      </c>
      <c r="D630" s="96">
        <v>70</v>
      </c>
      <c r="E630" s="22">
        <v>47175.42</v>
      </c>
      <c r="F630" s="22">
        <v>6953</v>
      </c>
      <c r="G630" s="22">
        <v>0</v>
      </c>
      <c r="H630" s="87">
        <f t="shared" si="57"/>
        <v>54128.42</v>
      </c>
      <c r="I630" s="87">
        <f t="shared" si="58"/>
        <v>54128.42</v>
      </c>
      <c r="J630" s="119"/>
      <c r="K630" s="83"/>
      <c r="L630" s="155"/>
    </row>
    <row r="631" spans="1:12" s="82" customFormat="1" outlineLevel="1" x14ac:dyDescent="0.2">
      <c r="A631" s="133" t="s">
        <v>782</v>
      </c>
      <c r="B631" s="147">
        <v>43096</v>
      </c>
      <c r="C631" s="147">
        <v>43465</v>
      </c>
      <c r="D631" s="96"/>
      <c r="E631" s="22">
        <v>50270.34</v>
      </c>
      <c r="F631" s="22">
        <v>6953</v>
      </c>
      <c r="G631" s="22">
        <v>0</v>
      </c>
      <c r="H631" s="87">
        <f t="shared" si="57"/>
        <v>57223.34</v>
      </c>
      <c r="I631" s="87">
        <f t="shared" si="58"/>
        <v>57223.34</v>
      </c>
      <c r="J631" s="119"/>
      <c r="K631" s="83"/>
      <c r="L631" s="155"/>
    </row>
    <row r="632" spans="1:12" s="82" customFormat="1" outlineLevel="1" x14ac:dyDescent="0.2">
      <c r="A632" s="133" t="s">
        <v>783</v>
      </c>
      <c r="B632" s="147">
        <v>43084</v>
      </c>
      <c r="C632" s="147">
        <v>43465</v>
      </c>
      <c r="D632" s="96">
        <v>75</v>
      </c>
      <c r="E632" s="22">
        <v>45818.64</v>
      </c>
      <c r="F632" s="22">
        <v>6953</v>
      </c>
      <c r="G632" s="22">
        <v>0</v>
      </c>
      <c r="H632" s="87">
        <f t="shared" si="57"/>
        <v>52771.64</v>
      </c>
      <c r="I632" s="87">
        <f t="shared" si="58"/>
        <v>52771.64</v>
      </c>
      <c r="J632" s="119"/>
      <c r="K632" s="83"/>
      <c r="L632" s="155"/>
    </row>
    <row r="633" spans="1:12" s="82" customFormat="1" outlineLevel="1" x14ac:dyDescent="0.2">
      <c r="A633" s="133" t="s">
        <v>784</v>
      </c>
      <c r="B633" s="147">
        <v>43084</v>
      </c>
      <c r="C633" s="147">
        <v>43465</v>
      </c>
      <c r="D633" s="96">
        <v>60</v>
      </c>
      <c r="E633" s="22">
        <v>43594.07</v>
      </c>
      <c r="F633" s="22">
        <v>6953</v>
      </c>
      <c r="G633" s="22">
        <v>0</v>
      </c>
      <c r="H633" s="87">
        <f t="shared" si="57"/>
        <v>50547.07</v>
      </c>
      <c r="I633" s="87">
        <f t="shared" si="58"/>
        <v>50547.07</v>
      </c>
      <c r="J633" s="119"/>
      <c r="K633" s="83"/>
      <c r="L633" s="155"/>
    </row>
    <row r="634" spans="1:12" s="82" customFormat="1" ht="24" outlineLevel="1" x14ac:dyDescent="0.2">
      <c r="A634" s="133" t="s">
        <v>785</v>
      </c>
      <c r="B634" s="147">
        <v>43005</v>
      </c>
      <c r="C634" s="147">
        <v>43465</v>
      </c>
      <c r="D634" s="96">
        <v>85</v>
      </c>
      <c r="E634" s="103">
        <v>29301.56</v>
      </c>
      <c r="F634" s="103">
        <v>10953.11</v>
      </c>
      <c r="G634" s="22">
        <v>0</v>
      </c>
      <c r="H634" s="87">
        <f t="shared" si="57"/>
        <v>40254.67</v>
      </c>
      <c r="I634" s="87">
        <f t="shared" si="58"/>
        <v>40254.67</v>
      </c>
      <c r="J634" s="119"/>
      <c r="K634" s="83"/>
      <c r="L634" s="155"/>
    </row>
    <row r="635" spans="1:12" s="82" customFormat="1" ht="24" outlineLevel="1" x14ac:dyDescent="0.2">
      <c r="A635" s="133" t="s">
        <v>786</v>
      </c>
      <c r="B635" s="148">
        <v>43069</v>
      </c>
      <c r="C635" s="147">
        <v>43465</v>
      </c>
      <c r="D635" s="96"/>
      <c r="E635" s="22">
        <v>0</v>
      </c>
      <c r="F635" s="103">
        <v>6461.66</v>
      </c>
      <c r="G635" s="22">
        <v>0</v>
      </c>
      <c r="H635" s="87">
        <f t="shared" si="57"/>
        <v>6461.66</v>
      </c>
      <c r="I635" s="87">
        <f t="shared" si="58"/>
        <v>6461.66</v>
      </c>
      <c r="J635" s="119"/>
      <c r="K635" s="83"/>
      <c r="L635" s="155"/>
    </row>
    <row r="636" spans="1:12" s="82" customFormat="1" ht="24" outlineLevel="1" x14ac:dyDescent="0.2">
      <c r="A636" s="133" t="s">
        <v>787</v>
      </c>
      <c r="B636" s="147">
        <v>42999</v>
      </c>
      <c r="C636" s="147">
        <v>43465</v>
      </c>
      <c r="D636" s="96">
        <v>85</v>
      </c>
      <c r="E636" s="103">
        <v>25391.48</v>
      </c>
      <c r="F636" s="103">
        <v>10582.83</v>
      </c>
      <c r="G636" s="22">
        <v>0</v>
      </c>
      <c r="H636" s="87">
        <f t="shared" si="57"/>
        <v>35974.31</v>
      </c>
      <c r="I636" s="87">
        <f t="shared" si="58"/>
        <v>35974.31</v>
      </c>
      <c r="J636" s="119"/>
      <c r="K636" s="83"/>
      <c r="L636" s="155"/>
    </row>
    <row r="637" spans="1:12" s="82" customFormat="1" ht="24" outlineLevel="1" x14ac:dyDescent="0.2">
      <c r="A637" s="133" t="s">
        <v>788</v>
      </c>
      <c r="B637" s="147">
        <v>43095</v>
      </c>
      <c r="C637" s="147">
        <v>43202</v>
      </c>
      <c r="D637" s="96">
        <v>95</v>
      </c>
      <c r="E637" s="22">
        <v>41643.22</v>
      </c>
      <c r="F637" s="22">
        <v>6953</v>
      </c>
      <c r="G637" s="22">
        <v>0</v>
      </c>
      <c r="H637" s="87">
        <f t="shared" si="57"/>
        <v>48596.22</v>
      </c>
      <c r="I637" s="87">
        <f t="shared" si="58"/>
        <v>48596.22</v>
      </c>
      <c r="J637" s="119"/>
      <c r="K637" s="83"/>
      <c r="L637" s="155"/>
    </row>
    <row r="638" spans="1:12" s="82" customFormat="1" ht="24" outlineLevel="1" x14ac:dyDescent="0.2">
      <c r="A638" s="133" t="s">
        <v>789</v>
      </c>
      <c r="B638" s="147">
        <v>43056</v>
      </c>
      <c r="C638" s="147">
        <v>43465</v>
      </c>
      <c r="D638" s="96">
        <v>80</v>
      </c>
      <c r="E638" s="22">
        <v>44124.58</v>
      </c>
      <c r="F638" s="22">
        <v>6953</v>
      </c>
      <c r="G638" s="22">
        <v>0</v>
      </c>
      <c r="H638" s="87">
        <f t="shared" si="57"/>
        <v>51077.58</v>
      </c>
      <c r="I638" s="87">
        <f t="shared" si="58"/>
        <v>51077.58</v>
      </c>
      <c r="J638" s="119"/>
      <c r="K638" s="83"/>
      <c r="L638" s="155"/>
    </row>
    <row r="639" spans="1:12" s="82" customFormat="1" ht="24" outlineLevel="1" x14ac:dyDescent="0.2">
      <c r="A639" s="133" t="s">
        <v>790</v>
      </c>
      <c r="B639" s="147">
        <v>43095</v>
      </c>
      <c r="C639" s="147">
        <v>43202</v>
      </c>
      <c r="D639" s="96">
        <v>90</v>
      </c>
      <c r="E639" s="22">
        <v>43594.07</v>
      </c>
      <c r="F639" s="22">
        <v>6953</v>
      </c>
      <c r="G639" s="22">
        <v>0</v>
      </c>
      <c r="H639" s="87">
        <f t="shared" si="57"/>
        <v>50547.07</v>
      </c>
      <c r="I639" s="87">
        <f t="shared" si="58"/>
        <v>50547.07</v>
      </c>
      <c r="J639" s="119"/>
      <c r="K639" s="83"/>
      <c r="L639" s="155"/>
    </row>
    <row r="640" spans="1:12" s="82" customFormat="1" ht="24" outlineLevel="1" x14ac:dyDescent="0.2">
      <c r="A640" s="133" t="s">
        <v>791</v>
      </c>
      <c r="B640" s="147">
        <v>43056</v>
      </c>
      <c r="C640" s="147">
        <v>43164</v>
      </c>
      <c r="D640" s="96">
        <v>95</v>
      </c>
      <c r="E640" s="22">
        <v>46316.95</v>
      </c>
      <c r="F640" s="22">
        <v>6953</v>
      </c>
      <c r="G640" s="22">
        <v>0</v>
      </c>
      <c r="H640" s="87">
        <f t="shared" si="57"/>
        <v>53269.95</v>
      </c>
      <c r="I640" s="87">
        <f t="shared" si="58"/>
        <v>53269.95</v>
      </c>
      <c r="J640" s="119"/>
      <c r="K640" s="83"/>
      <c r="L640" s="155"/>
    </row>
    <row r="641" spans="1:12" s="82" customFormat="1" ht="24" outlineLevel="1" x14ac:dyDescent="0.2">
      <c r="A641" s="133" t="s">
        <v>792</v>
      </c>
      <c r="B641" s="147">
        <v>43171</v>
      </c>
      <c r="C641" s="147">
        <v>43465</v>
      </c>
      <c r="D641" s="96"/>
      <c r="E641" s="22">
        <v>0</v>
      </c>
      <c r="F641" s="22">
        <v>6953</v>
      </c>
      <c r="G641" s="22">
        <v>0</v>
      </c>
      <c r="H641" s="87">
        <f t="shared" si="57"/>
        <v>6953</v>
      </c>
      <c r="I641" s="87">
        <f t="shared" si="58"/>
        <v>6953</v>
      </c>
      <c r="J641" s="119"/>
      <c r="K641" s="83"/>
      <c r="L641" s="155"/>
    </row>
    <row r="642" spans="1:12" s="82" customFormat="1" ht="24" outlineLevel="1" x14ac:dyDescent="0.2">
      <c r="A642" s="133" t="s">
        <v>793</v>
      </c>
      <c r="B642" s="147">
        <v>43055</v>
      </c>
      <c r="C642" s="147">
        <v>43465</v>
      </c>
      <c r="D642" s="96">
        <v>80</v>
      </c>
      <c r="E642" s="22">
        <v>46978.81</v>
      </c>
      <c r="F642" s="22">
        <v>6953</v>
      </c>
      <c r="G642" s="22">
        <v>0</v>
      </c>
      <c r="H642" s="87">
        <f t="shared" si="57"/>
        <v>53931.81</v>
      </c>
      <c r="I642" s="87">
        <f t="shared" si="58"/>
        <v>53931.81</v>
      </c>
      <c r="J642" s="119"/>
      <c r="K642" s="83"/>
      <c r="L642" s="155"/>
    </row>
    <row r="643" spans="1:12" s="82" customFormat="1" ht="24" outlineLevel="1" x14ac:dyDescent="0.2">
      <c r="A643" s="133" t="s">
        <v>794</v>
      </c>
      <c r="B643" s="147">
        <v>43171</v>
      </c>
      <c r="C643" s="147">
        <v>43465</v>
      </c>
      <c r="D643" s="96"/>
      <c r="E643" s="22">
        <v>0</v>
      </c>
      <c r="F643" s="22">
        <v>6953</v>
      </c>
      <c r="G643" s="22">
        <v>0</v>
      </c>
      <c r="H643" s="87">
        <f t="shared" si="57"/>
        <v>6953</v>
      </c>
      <c r="I643" s="87">
        <f t="shared" si="58"/>
        <v>6953</v>
      </c>
      <c r="J643" s="119"/>
      <c r="K643" s="83"/>
      <c r="L643" s="155"/>
    </row>
    <row r="644" spans="1:12" s="82" customFormat="1" ht="24" outlineLevel="1" x14ac:dyDescent="0.2">
      <c r="A644" s="133" t="s">
        <v>795</v>
      </c>
      <c r="B644" s="148">
        <v>42958</v>
      </c>
      <c r="C644" s="147">
        <v>43465</v>
      </c>
      <c r="D644" s="96"/>
      <c r="E644" s="22">
        <v>0</v>
      </c>
      <c r="F644" s="22">
        <v>6435.7</v>
      </c>
      <c r="G644" s="22">
        <v>0</v>
      </c>
      <c r="H644" s="87">
        <f t="shared" si="57"/>
        <v>6435.7</v>
      </c>
      <c r="I644" s="87">
        <f t="shared" si="58"/>
        <v>6435.7</v>
      </c>
      <c r="J644" s="119"/>
      <c r="K644" s="83"/>
      <c r="L644" s="155"/>
    </row>
    <row r="645" spans="1:12" s="82" customFormat="1" ht="24" outlineLevel="1" x14ac:dyDescent="0.2">
      <c r="A645" s="133" t="s">
        <v>796</v>
      </c>
      <c r="B645" s="147">
        <v>43171</v>
      </c>
      <c r="C645" s="147">
        <v>43465</v>
      </c>
      <c r="D645" s="96"/>
      <c r="E645" s="22">
        <v>0</v>
      </c>
      <c r="F645" s="22">
        <v>6953</v>
      </c>
      <c r="G645" s="22">
        <v>0</v>
      </c>
      <c r="H645" s="87">
        <f t="shared" si="57"/>
        <v>6953</v>
      </c>
      <c r="I645" s="87">
        <f t="shared" si="58"/>
        <v>6953</v>
      </c>
      <c r="J645" s="119"/>
      <c r="K645" s="83"/>
      <c r="L645" s="155"/>
    </row>
    <row r="646" spans="1:12" s="82" customFormat="1" ht="24" outlineLevel="1" x14ac:dyDescent="0.2">
      <c r="A646" s="133" t="s">
        <v>797</v>
      </c>
      <c r="B646" s="147">
        <v>43136</v>
      </c>
      <c r="C646" s="147">
        <v>43465</v>
      </c>
      <c r="D646" s="96">
        <v>60</v>
      </c>
      <c r="E646" s="22">
        <v>0</v>
      </c>
      <c r="F646" s="22">
        <v>6953</v>
      </c>
      <c r="G646" s="22">
        <v>0</v>
      </c>
      <c r="H646" s="87">
        <f t="shared" si="57"/>
        <v>6953</v>
      </c>
      <c r="I646" s="87">
        <f t="shared" si="58"/>
        <v>6953</v>
      </c>
      <c r="J646" s="119"/>
      <c r="K646" s="83"/>
      <c r="L646" s="155"/>
    </row>
    <row r="647" spans="1:12" s="82" customFormat="1" ht="24" outlineLevel="1" x14ac:dyDescent="0.2">
      <c r="A647" s="133" t="s">
        <v>798</v>
      </c>
      <c r="B647" s="147">
        <v>43095</v>
      </c>
      <c r="C647" s="147">
        <v>43180</v>
      </c>
      <c r="D647" s="96">
        <v>90</v>
      </c>
      <c r="E647" s="22">
        <v>46047.46</v>
      </c>
      <c r="F647" s="22">
        <v>6953</v>
      </c>
      <c r="G647" s="22">
        <v>0</v>
      </c>
      <c r="H647" s="87">
        <f t="shared" si="57"/>
        <v>53000.46</v>
      </c>
      <c r="I647" s="87">
        <f t="shared" si="58"/>
        <v>53000.46</v>
      </c>
      <c r="J647" s="119"/>
      <c r="K647" s="83"/>
      <c r="L647" s="155"/>
    </row>
    <row r="648" spans="1:12" s="82" customFormat="1" ht="24" outlineLevel="1" x14ac:dyDescent="0.2">
      <c r="A648" s="133" t="s">
        <v>799</v>
      </c>
      <c r="B648" s="147">
        <v>43171</v>
      </c>
      <c r="C648" s="147">
        <v>43465</v>
      </c>
      <c r="D648" s="96"/>
      <c r="E648" s="22">
        <v>0</v>
      </c>
      <c r="F648" s="22">
        <v>6953</v>
      </c>
      <c r="G648" s="22">
        <v>0</v>
      </c>
      <c r="H648" s="87">
        <f t="shared" si="57"/>
        <v>6953</v>
      </c>
      <c r="I648" s="87">
        <f t="shared" si="58"/>
        <v>6953</v>
      </c>
      <c r="J648" s="119"/>
      <c r="K648" s="83"/>
      <c r="L648" s="155"/>
    </row>
    <row r="649" spans="1:12" s="82" customFormat="1" ht="24" outlineLevel="1" x14ac:dyDescent="0.2">
      <c r="A649" s="133" t="s">
        <v>800</v>
      </c>
      <c r="B649" s="147">
        <v>43056</v>
      </c>
      <c r="C649" s="147">
        <v>43165</v>
      </c>
      <c r="D649" s="96">
        <v>93</v>
      </c>
      <c r="E649" s="22">
        <v>48704.24</v>
      </c>
      <c r="F649" s="22">
        <v>6953</v>
      </c>
      <c r="G649" s="22">
        <v>0</v>
      </c>
      <c r="H649" s="87">
        <f t="shared" si="57"/>
        <v>55657.24</v>
      </c>
      <c r="I649" s="87">
        <f t="shared" si="58"/>
        <v>55657.24</v>
      </c>
      <c r="J649" s="119"/>
      <c r="K649" s="83"/>
      <c r="L649" s="155"/>
    </row>
    <row r="650" spans="1:12" s="82" customFormat="1" ht="24" outlineLevel="1" x14ac:dyDescent="0.2">
      <c r="A650" s="133" t="s">
        <v>801</v>
      </c>
      <c r="B650" s="147">
        <v>43150</v>
      </c>
      <c r="C650" s="147">
        <v>43195</v>
      </c>
      <c r="D650" s="96">
        <v>95</v>
      </c>
      <c r="E650" s="22">
        <v>30438.97</v>
      </c>
      <c r="F650" s="22">
        <v>7878.8</v>
      </c>
      <c r="G650" s="22">
        <v>0</v>
      </c>
      <c r="H650" s="87">
        <f t="shared" si="57"/>
        <v>38317.770000000004</v>
      </c>
      <c r="I650" s="87">
        <f t="shared" si="58"/>
        <v>38317.770000000004</v>
      </c>
      <c r="J650" s="119"/>
      <c r="K650" s="83"/>
      <c r="L650" s="155"/>
    </row>
    <row r="651" spans="1:12" s="82" customFormat="1" ht="24" outlineLevel="1" x14ac:dyDescent="0.2">
      <c r="A651" s="133" t="s">
        <v>802</v>
      </c>
      <c r="B651" s="147">
        <v>43060</v>
      </c>
      <c r="C651" s="147">
        <v>43125</v>
      </c>
      <c r="D651" s="96">
        <v>95</v>
      </c>
      <c r="E651" s="103">
        <v>24161.19</v>
      </c>
      <c r="F651" s="103">
        <v>10188.16</v>
      </c>
      <c r="G651" s="22">
        <v>0</v>
      </c>
      <c r="H651" s="87">
        <f t="shared" si="57"/>
        <v>34349.35</v>
      </c>
      <c r="I651" s="87">
        <f t="shared" si="58"/>
        <v>34349.35</v>
      </c>
      <c r="J651" s="119"/>
      <c r="K651" s="83"/>
      <c r="L651" s="155"/>
    </row>
    <row r="652" spans="1:12" s="82" customFormat="1" ht="24" outlineLevel="1" x14ac:dyDescent="0.2">
      <c r="A652" s="133" t="s">
        <v>803</v>
      </c>
      <c r="B652" s="147">
        <v>43005</v>
      </c>
      <c r="C652" s="147">
        <v>43465</v>
      </c>
      <c r="D652" s="96">
        <v>40</v>
      </c>
      <c r="E652" s="22">
        <v>0</v>
      </c>
      <c r="F652" s="22">
        <v>13586.56</v>
      </c>
      <c r="G652" s="22">
        <v>0</v>
      </c>
      <c r="H652" s="87">
        <f t="shared" si="57"/>
        <v>13586.56</v>
      </c>
      <c r="I652" s="87">
        <f t="shared" si="58"/>
        <v>13586.56</v>
      </c>
      <c r="J652" s="119"/>
      <c r="K652" s="83"/>
      <c r="L652" s="155"/>
    </row>
    <row r="653" spans="1:12" s="82" customFormat="1" ht="24" outlineLevel="1" x14ac:dyDescent="0.2">
      <c r="A653" s="133" t="s">
        <v>804</v>
      </c>
      <c r="B653" s="147">
        <v>43061</v>
      </c>
      <c r="C653" s="147">
        <v>43213</v>
      </c>
      <c r="D653" s="96">
        <v>90</v>
      </c>
      <c r="E653" s="103">
        <v>39723.199999999997</v>
      </c>
      <c r="F653" s="103">
        <v>9175.06</v>
      </c>
      <c r="G653" s="22">
        <v>0</v>
      </c>
      <c r="H653" s="87">
        <f t="shared" si="57"/>
        <v>48898.259999999995</v>
      </c>
      <c r="I653" s="87">
        <f t="shared" si="58"/>
        <v>48898.259999999995</v>
      </c>
      <c r="J653" s="119"/>
      <c r="K653" s="83"/>
      <c r="L653" s="155"/>
    </row>
    <row r="654" spans="1:12" s="82" customFormat="1" ht="24" outlineLevel="1" x14ac:dyDescent="0.2">
      <c r="A654" s="133" t="s">
        <v>805</v>
      </c>
      <c r="B654" s="147">
        <v>43116</v>
      </c>
      <c r="C654" s="147">
        <v>43181</v>
      </c>
      <c r="D654" s="96">
        <v>90</v>
      </c>
      <c r="E654" s="103">
        <v>31509.9</v>
      </c>
      <c r="F654" s="103">
        <v>12013.43</v>
      </c>
      <c r="G654" s="22">
        <v>0</v>
      </c>
      <c r="H654" s="87">
        <f t="shared" si="57"/>
        <v>43523.33</v>
      </c>
      <c r="I654" s="87">
        <f t="shared" si="58"/>
        <v>43523.33</v>
      </c>
      <c r="J654" s="119"/>
      <c r="K654" s="83"/>
      <c r="L654" s="155"/>
    </row>
    <row r="655" spans="1:12" s="82" customFormat="1" ht="24" outlineLevel="1" x14ac:dyDescent="0.2">
      <c r="A655" s="133" t="s">
        <v>806</v>
      </c>
      <c r="B655" s="147">
        <v>43017</v>
      </c>
      <c r="C655" s="147">
        <v>43115</v>
      </c>
      <c r="D655" s="96">
        <v>90</v>
      </c>
      <c r="E655" s="103">
        <v>27964.240000000002</v>
      </c>
      <c r="F655" s="103">
        <v>8095.6</v>
      </c>
      <c r="G655" s="22">
        <v>0</v>
      </c>
      <c r="H655" s="87">
        <f t="shared" si="57"/>
        <v>36059.840000000004</v>
      </c>
      <c r="I655" s="87">
        <f t="shared" si="58"/>
        <v>36059.840000000004</v>
      </c>
      <c r="J655" s="119"/>
      <c r="K655" s="83"/>
      <c r="L655" s="155"/>
    </row>
    <row r="656" spans="1:12" s="82" customFormat="1" ht="24" outlineLevel="1" x14ac:dyDescent="0.2">
      <c r="A656" s="133" t="s">
        <v>807</v>
      </c>
      <c r="B656" s="147">
        <v>43056</v>
      </c>
      <c r="C656" s="147">
        <v>43165</v>
      </c>
      <c r="D656" s="96">
        <v>92</v>
      </c>
      <c r="E656" s="22">
        <v>44698.3</v>
      </c>
      <c r="F656" s="22">
        <v>6953</v>
      </c>
      <c r="G656" s="22">
        <v>0</v>
      </c>
      <c r="H656" s="87">
        <f t="shared" si="57"/>
        <v>51651.3</v>
      </c>
      <c r="I656" s="87">
        <f t="shared" si="58"/>
        <v>51651.3</v>
      </c>
      <c r="J656" s="119"/>
      <c r="K656" s="83"/>
      <c r="L656" s="155"/>
    </row>
    <row r="657" spans="1:12" s="82" customFormat="1" ht="24" outlineLevel="1" x14ac:dyDescent="0.2">
      <c r="A657" s="133" t="s">
        <v>808</v>
      </c>
      <c r="B657" s="147">
        <v>43084</v>
      </c>
      <c r="C657" s="147">
        <v>43171</v>
      </c>
      <c r="D657" s="96">
        <v>95</v>
      </c>
      <c r="E657" s="22">
        <v>42313.56</v>
      </c>
      <c r="F657" s="22">
        <v>6953</v>
      </c>
      <c r="G657" s="22">
        <v>0</v>
      </c>
      <c r="H657" s="135">
        <f t="shared" si="57"/>
        <v>49266.559999999998</v>
      </c>
      <c r="I657" s="87">
        <f t="shared" si="58"/>
        <v>49266.559999999998</v>
      </c>
      <c r="J657" s="119"/>
      <c r="K657" s="83"/>
      <c r="L657" s="155"/>
    </row>
    <row r="658" spans="1:12" s="82" customFormat="1" ht="24" outlineLevel="1" x14ac:dyDescent="0.2">
      <c r="A658" s="133" t="s">
        <v>809</v>
      </c>
      <c r="B658" s="147">
        <v>43171</v>
      </c>
      <c r="C658" s="147">
        <v>43465</v>
      </c>
      <c r="D658" s="96"/>
      <c r="E658" s="22">
        <v>43761.86</v>
      </c>
      <c r="F658" s="22">
        <v>6953</v>
      </c>
      <c r="G658" s="22">
        <v>0</v>
      </c>
      <c r="H658" s="87">
        <f t="shared" si="57"/>
        <v>50714.86</v>
      </c>
      <c r="I658" s="87">
        <f t="shared" si="58"/>
        <v>50714.86</v>
      </c>
      <c r="J658" s="119"/>
      <c r="K658" s="83"/>
      <c r="L658" s="155"/>
    </row>
    <row r="659" spans="1:12" s="82" customFormat="1" ht="24" outlineLevel="1" x14ac:dyDescent="0.2">
      <c r="A659" s="133" t="s">
        <v>810</v>
      </c>
      <c r="B659" s="147">
        <v>43060</v>
      </c>
      <c r="C659" s="147">
        <v>43188</v>
      </c>
      <c r="D659" s="96">
        <v>92</v>
      </c>
      <c r="E659" s="22">
        <v>45150</v>
      </c>
      <c r="F659" s="22">
        <v>6953</v>
      </c>
      <c r="G659" s="22">
        <v>0</v>
      </c>
      <c r="H659" s="87">
        <f t="shared" si="57"/>
        <v>52103</v>
      </c>
      <c r="I659" s="87">
        <f t="shared" si="58"/>
        <v>52103</v>
      </c>
      <c r="J659" s="119"/>
      <c r="K659" s="83"/>
      <c r="L659" s="155"/>
    </row>
    <row r="660" spans="1:12" s="82" customFormat="1" outlineLevel="1" x14ac:dyDescent="0.2">
      <c r="A660" s="133" t="s">
        <v>811</v>
      </c>
      <c r="B660" s="147">
        <v>42975</v>
      </c>
      <c r="C660" s="147">
        <v>43465</v>
      </c>
      <c r="D660" s="96">
        <v>45</v>
      </c>
      <c r="E660" s="22">
        <v>0</v>
      </c>
      <c r="F660" s="22">
        <v>10083.700000000001</v>
      </c>
      <c r="G660" s="22">
        <v>0</v>
      </c>
      <c r="H660" s="87">
        <f t="shared" si="57"/>
        <v>10083.700000000001</v>
      </c>
      <c r="I660" s="87">
        <f t="shared" si="58"/>
        <v>10083.700000000001</v>
      </c>
      <c r="J660" s="119"/>
      <c r="K660" s="83"/>
      <c r="L660" s="155"/>
    </row>
    <row r="661" spans="1:12" s="82" customFormat="1" ht="24" outlineLevel="1" x14ac:dyDescent="0.2">
      <c r="A661" s="133" t="s">
        <v>812</v>
      </c>
      <c r="B661" s="147">
        <v>43024</v>
      </c>
      <c r="C661" s="147">
        <v>43465</v>
      </c>
      <c r="D661" s="96">
        <v>70</v>
      </c>
      <c r="E661" s="22">
        <v>0</v>
      </c>
      <c r="F661" s="22">
        <v>6461.66</v>
      </c>
      <c r="G661" s="22">
        <v>0</v>
      </c>
      <c r="H661" s="87">
        <f t="shared" si="57"/>
        <v>6461.66</v>
      </c>
      <c r="I661" s="87">
        <f t="shared" si="58"/>
        <v>6461.66</v>
      </c>
      <c r="J661" s="119"/>
      <c r="K661" s="83"/>
      <c r="L661" s="155"/>
    </row>
    <row r="662" spans="1:12" s="82" customFormat="1" ht="24" outlineLevel="1" x14ac:dyDescent="0.2">
      <c r="A662" s="133" t="s">
        <v>813</v>
      </c>
      <c r="B662" s="147">
        <v>42984</v>
      </c>
      <c r="C662" s="147">
        <v>43465</v>
      </c>
      <c r="D662" s="96">
        <v>90</v>
      </c>
      <c r="E662" s="103">
        <v>24030.97</v>
      </c>
      <c r="F662" s="103">
        <v>6461.66</v>
      </c>
      <c r="G662" s="22">
        <v>0</v>
      </c>
      <c r="H662" s="87">
        <f t="shared" si="57"/>
        <v>30492.63</v>
      </c>
      <c r="I662" s="87">
        <f t="shared" si="58"/>
        <v>30492.63</v>
      </c>
      <c r="J662" s="119"/>
      <c r="K662" s="83"/>
      <c r="L662" s="163"/>
    </row>
    <row r="663" spans="1:12" s="82" customFormat="1" ht="24" outlineLevel="1" x14ac:dyDescent="0.2">
      <c r="A663" s="133" t="s">
        <v>814</v>
      </c>
      <c r="B663" s="147">
        <v>43091</v>
      </c>
      <c r="C663" s="147">
        <v>43465</v>
      </c>
      <c r="D663" s="96">
        <v>85</v>
      </c>
      <c r="E663" s="103">
        <v>43472.03</v>
      </c>
      <c r="F663" s="22">
        <v>6953</v>
      </c>
      <c r="G663" s="22">
        <v>0</v>
      </c>
      <c r="H663" s="87">
        <f t="shared" si="57"/>
        <v>50425.03</v>
      </c>
      <c r="I663" s="87">
        <f t="shared" si="58"/>
        <v>50425.03</v>
      </c>
      <c r="J663" s="119"/>
      <c r="K663" s="83"/>
      <c r="L663" s="163"/>
    </row>
    <row r="664" spans="1:12" s="82" customFormat="1" ht="24" outlineLevel="1" x14ac:dyDescent="0.2">
      <c r="A664" s="133" t="s">
        <v>815</v>
      </c>
      <c r="B664" s="147">
        <v>43056</v>
      </c>
      <c r="C664" s="147">
        <v>43465</v>
      </c>
      <c r="D664" s="96">
        <v>85</v>
      </c>
      <c r="E664" s="22">
        <v>47921.19</v>
      </c>
      <c r="F664" s="22">
        <v>6953</v>
      </c>
      <c r="G664" s="22">
        <v>0</v>
      </c>
      <c r="H664" s="87">
        <f t="shared" si="57"/>
        <v>54874.19</v>
      </c>
      <c r="I664" s="87">
        <f t="shared" si="58"/>
        <v>54874.19</v>
      </c>
      <c r="J664" s="119"/>
      <c r="K664" s="83"/>
      <c r="L664" s="163"/>
    </row>
    <row r="665" spans="1:12" s="82" customFormat="1" ht="24" outlineLevel="1" x14ac:dyDescent="0.2">
      <c r="A665" s="133" t="s">
        <v>816</v>
      </c>
      <c r="B665" s="147">
        <v>43056</v>
      </c>
      <c r="C665" s="147">
        <v>43465</v>
      </c>
      <c r="D665" s="96">
        <v>95</v>
      </c>
      <c r="E665" s="22">
        <v>47107.63</v>
      </c>
      <c r="F665" s="22">
        <v>6953</v>
      </c>
      <c r="G665" s="22">
        <v>0</v>
      </c>
      <c r="H665" s="87">
        <f t="shared" si="57"/>
        <v>54060.63</v>
      </c>
      <c r="I665" s="87">
        <f t="shared" si="58"/>
        <v>54060.63</v>
      </c>
      <c r="J665" s="119"/>
      <c r="K665" s="83"/>
      <c r="L665" s="163"/>
    </row>
    <row r="666" spans="1:12" s="82" customFormat="1" ht="24" outlineLevel="1" x14ac:dyDescent="0.2">
      <c r="A666" s="133" t="s">
        <v>817</v>
      </c>
      <c r="B666" s="147">
        <v>43171</v>
      </c>
      <c r="C666" s="147">
        <v>43465</v>
      </c>
      <c r="D666" s="96"/>
      <c r="E666" s="22">
        <v>0</v>
      </c>
      <c r="F666" s="22">
        <v>6953</v>
      </c>
      <c r="G666" s="22">
        <v>0</v>
      </c>
      <c r="H666" s="87">
        <f t="shared" si="57"/>
        <v>6953</v>
      </c>
      <c r="I666" s="87">
        <f t="shared" si="58"/>
        <v>6953</v>
      </c>
      <c r="J666" s="119"/>
      <c r="K666" s="83"/>
      <c r="L666" s="163"/>
    </row>
    <row r="667" spans="1:12" s="82" customFormat="1" ht="24" outlineLevel="1" x14ac:dyDescent="0.2">
      <c r="A667" s="133" t="s">
        <v>818</v>
      </c>
      <c r="B667" s="147">
        <v>43133</v>
      </c>
      <c r="C667" s="147">
        <v>43465</v>
      </c>
      <c r="D667" s="96">
        <v>50</v>
      </c>
      <c r="E667" s="22">
        <v>0</v>
      </c>
      <c r="F667" s="22">
        <v>6953</v>
      </c>
      <c r="G667" s="22">
        <v>0</v>
      </c>
      <c r="H667" s="87">
        <f t="shared" si="57"/>
        <v>6953</v>
      </c>
      <c r="I667" s="87">
        <f t="shared" si="58"/>
        <v>6953</v>
      </c>
      <c r="J667" s="119"/>
      <c r="K667" s="83"/>
      <c r="L667" s="163"/>
    </row>
    <row r="668" spans="1:12" s="82" customFormat="1" ht="24" outlineLevel="1" x14ac:dyDescent="0.2">
      <c r="A668" s="133" t="s">
        <v>819</v>
      </c>
      <c r="B668" s="147">
        <v>43040</v>
      </c>
      <c r="C668" s="147">
        <v>43465</v>
      </c>
      <c r="D668" s="96">
        <v>90</v>
      </c>
      <c r="E668" s="103">
        <v>55804.15</v>
      </c>
      <c r="F668" s="103">
        <v>11199.85</v>
      </c>
      <c r="G668" s="22">
        <v>0</v>
      </c>
      <c r="H668" s="87">
        <f t="shared" si="57"/>
        <v>67004</v>
      </c>
      <c r="I668" s="87">
        <f t="shared" si="58"/>
        <v>67004</v>
      </c>
      <c r="J668" s="119"/>
      <c r="K668" s="83"/>
      <c r="L668" s="163"/>
    </row>
    <row r="669" spans="1:12" s="82" customFormat="1" ht="24" outlineLevel="1" x14ac:dyDescent="0.2">
      <c r="A669" s="133" t="s">
        <v>820</v>
      </c>
      <c r="B669" s="148">
        <v>43054</v>
      </c>
      <c r="C669" s="147">
        <v>43465</v>
      </c>
      <c r="D669" s="96"/>
      <c r="E669" s="22">
        <v>0</v>
      </c>
      <c r="F669" s="22">
        <v>6953</v>
      </c>
      <c r="G669" s="22">
        <v>0</v>
      </c>
      <c r="H669" s="87">
        <f t="shared" si="57"/>
        <v>6953</v>
      </c>
      <c r="I669" s="87">
        <f t="shared" si="58"/>
        <v>6953</v>
      </c>
      <c r="J669" s="119"/>
      <c r="K669" s="83"/>
      <c r="L669" s="163"/>
    </row>
    <row r="670" spans="1:12" s="82" customFormat="1" ht="24" outlineLevel="1" x14ac:dyDescent="0.2">
      <c r="A670" s="133" t="s">
        <v>821</v>
      </c>
      <c r="B670" s="148">
        <v>43089</v>
      </c>
      <c r="C670" s="147">
        <v>43465</v>
      </c>
      <c r="D670" s="96"/>
      <c r="E670" s="22">
        <v>44314.400000000001</v>
      </c>
      <c r="F670" s="22">
        <v>6953</v>
      </c>
      <c r="G670" s="22">
        <v>0</v>
      </c>
      <c r="H670" s="87">
        <f t="shared" si="57"/>
        <v>51267.4</v>
      </c>
      <c r="I670" s="87">
        <f t="shared" si="58"/>
        <v>51267.4</v>
      </c>
      <c r="J670" s="119"/>
      <c r="K670" s="83"/>
      <c r="L670" s="163"/>
    </row>
    <row r="671" spans="1:12" s="82" customFormat="1" ht="24" outlineLevel="1" x14ac:dyDescent="0.2">
      <c r="A671" s="133" t="s">
        <v>822</v>
      </c>
      <c r="B671" s="147">
        <v>43132</v>
      </c>
      <c r="C671" s="147">
        <v>43465</v>
      </c>
      <c r="D671" s="96">
        <v>60</v>
      </c>
      <c r="E671" s="22">
        <v>0</v>
      </c>
      <c r="F671" s="22">
        <v>6953</v>
      </c>
      <c r="G671" s="22">
        <v>0</v>
      </c>
      <c r="H671" s="87">
        <f t="shared" si="57"/>
        <v>6953</v>
      </c>
      <c r="I671" s="87">
        <f t="shared" si="58"/>
        <v>6953</v>
      </c>
      <c r="J671" s="119"/>
      <c r="K671" s="83"/>
      <c r="L671" s="155"/>
    </row>
    <row r="672" spans="1:12" s="82" customFormat="1" ht="24" outlineLevel="1" x14ac:dyDescent="0.2">
      <c r="A672" s="133" t="s">
        <v>823</v>
      </c>
      <c r="B672" s="147">
        <v>43067</v>
      </c>
      <c r="C672" s="147">
        <v>43465</v>
      </c>
      <c r="D672" s="96">
        <v>92</v>
      </c>
      <c r="E672" s="22">
        <v>44706.78</v>
      </c>
      <c r="F672" s="22">
        <v>6953</v>
      </c>
      <c r="G672" s="22">
        <v>0</v>
      </c>
      <c r="H672" s="87">
        <f t="shared" si="57"/>
        <v>51659.78</v>
      </c>
      <c r="I672" s="87">
        <f t="shared" si="58"/>
        <v>51659.78</v>
      </c>
      <c r="J672" s="119"/>
      <c r="K672" s="83"/>
      <c r="L672" s="155"/>
    </row>
    <row r="673" spans="1:12" s="82" customFormat="1" ht="24" outlineLevel="1" x14ac:dyDescent="0.2">
      <c r="A673" s="133" t="s">
        <v>824</v>
      </c>
      <c r="B673" s="147">
        <v>43171</v>
      </c>
      <c r="C673" s="147">
        <v>43465</v>
      </c>
      <c r="D673" s="96"/>
      <c r="E673" s="22">
        <v>44374.58</v>
      </c>
      <c r="F673" s="22">
        <v>0</v>
      </c>
      <c r="G673" s="22">
        <v>0</v>
      </c>
      <c r="H673" s="87">
        <f t="shared" si="57"/>
        <v>44374.58</v>
      </c>
      <c r="I673" s="87">
        <f t="shared" si="58"/>
        <v>44374.58</v>
      </c>
      <c r="J673" s="119"/>
      <c r="K673" s="83"/>
      <c r="L673" s="155"/>
    </row>
    <row r="674" spans="1:12" s="82" customFormat="1" ht="24" outlineLevel="1" x14ac:dyDescent="0.2">
      <c r="A674" s="133" t="s">
        <v>825</v>
      </c>
      <c r="B674" s="147">
        <v>43095</v>
      </c>
      <c r="C674" s="147">
        <v>43465</v>
      </c>
      <c r="D674" s="96">
        <v>90</v>
      </c>
      <c r="E674" s="22">
        <v>41423.730000000003</v>
      </c>
      <c r="F674" s="22">
        <v>6953</v>
      </c>
      <c r="G674" s="22">
        <v>0</v>
      </c>
      <c r="H674" s="87">
        <f t="shared" si="57"/>
        <v>48376.73</v>
      </c>
      <c r="I674" s="87">
        <f t="shared" si="58"/>
        <v>48376.73</v>
      </c>
      <c r="J674" s="119"/>
      <c r="K674" s="83"/>
      <c r="L674" s="155"/>
    </row>
    <row r="675" spans="1:12" s="82" customFormat="1" ht="24" outlineLevel="1" x14ac:dyDescent="0.2">
      <c r="A675" s="133" t="s">
        <v>826</v>
      </c>
      <c r="B675" s="147">
        <v>43132</v>
      </c>
      <c r="C675" s="147">
        <v>43465</v>
      </c>
      <c r="D675" s="96">
        <v>60</v>
      </c>
      <c r="E675" s="22">
        <v>0</v>
      </c>
      <c r="F675" s="22">
        <v>6953</v>
      </c>
      <c r="G675" s="22">
        <v>0</v>
      </c>
      <c r="H675" s="87">
        <f t="shared" si="57"/>
        <v>6953</v>
      </c>
      <c r="I675" s="87">
        <f t="shared" si="58"/>
        <v>6953</v>
      </c>
      <c r="J675" s="119"/>
      <c r="K675" s="83"/>
      <c r="L675" s="155"/>
    </row>
    <row r="676" spans="1:12" s="82" customFormat="1" ht="24" outlineLevel="1" x14ac:dyDescent="0.2">
      <c r="A676" s="133" t="s">
        <v>827</v>
      </c>
      <c r="B676" s="147">
        <v>43088</v>
      </c>
      <c r="C676" s="147">
        <v>43465</v>
      </c>
      <c r="D676" s="96">
        <v>80</v>
      </c>
      <c r="E676" s="22">
        <v>43334.75</v>
      </c>
      <c r="F676" s="22">
        <v>6953</v>
      </c>
      <c r="G676" s="22">
        <v>0</v>
      </c>
      <c r="H676" s="87">
        <f t="shared" si="57"/>
        <v>50287.75</v>
      </c>
      <c r="I676" s="87">
        <f t="shared" si="58"/>
        <v>50287.75</v>
      </c>
      <c r="J676" s="119"/>
      <c r="K676" s="83"/>
      <c r="L676" s="155"/>
    </row>
    <row r="677" spans="1:12" s="82" customFormat="1" ht="24" outlineLevel="1" x14ac:dyDescent="0.2">
      <c r="A677" s="133" t="s">
        <v>828</v>
      </c>
      <c r="B677" s="147">
        <v>43056</v>
      </c>
      <c r="C677" s="147">
        <v>43465</v>
      </c>
      <c r="D677" s="96">
        <v>95</v>
      </c>
      <c r="E677" s="22">
        <v>43998.3</v>
      </c>
      <c r="F677" s="22">
        <v>6953</v>
      </c>
      <c r="G677" s="22">
        <v>0</v>
      </c>
      <c r="H677" s="87">
        <f t="shared" si="57"/>
        <v>50951.3</v>
      </c>
      <c r="I677" s="87">
        <f t="shared" si="58"/>
        <v>50951.3</v>
      </c>
      <c r="J677" s="119"/>
      <c r="K677" s="83"/>
      <c r="L677" s="155"/>
    </row>
    <row r="678" spans="1:12" s="82" customFormat="1" ht="24" outlineLevel="1" x14ac:dyDescent="0.2">
      <c r="A678" s="133" t="s">
        <v>829</v>
      </c>
      <c r="B678" s="147">
        <v>42986</v>
      </c>
      <c r="C678" s="147">
        <v>43465</v>
      </c>
      <c r="D678" s="96">
        <v>90</v>
      </c>
      <c r="E678" s="103">
        <v>27935.16</v>
      </c>
      <c r="F678" s="103">
        <v>8330.75</v>
      </c>
      <c r="G678" s="22">
        <v>0</v>
      </c>
      <c r="H678" s="87">
        <f t="shared" si="57"/>
        <v>36265.910000000003</v>
      </c>
      <c r="I678" s="87">
        <f t="shared" si="58"/>
        <v>36265.910000000003</v>
      </c>
      <c r="J678" s="119"/>
      <c r="K678" s="83"/>
      <c r="L678" s="155"/>
    </row>
    <row r="679" spans="1:12" s="82" customFormat="1" ht="24" outlineLevel="1" x14ac:dyDescent="0.2">
      <c r="A679" s="133" t="s">
        <v>830</v>
      </c>
      <c r="B679" s="147">
        <v>43112</v>
      </c>
      <c r="C679" s="147">
        <v>43465</v>
      </c>
      <c r="D679" s="96">
        <v>45</v>
      </c>
      <c r="E679" s="22">
        <v>0</v>
      </c>
      <c r="F679" s="22">
        <v>4431.37</v>
      </c>
      <c r="G679" s="22">
        <v>0</v>
      </c>
      <c r="H679" s="87">
        <f t="shared" si="57"/>
        <v>4431.37</v>
      </c>
      <c r="I679" s="87">
        <f t="shared" si="58"/>
        <v>4431.37</v>
      </c>
      <c r="J679" s="119"/>
      <c r="K679" s="83"/>
      <c r="L679" s="155"/>
    </row>
    <row r="680" spans="1:12" s="82" customFormat="1" ht="24" outlineLevel="1" x14ac:dyDescent="0.2">
      <c r="A680" s="133" t="s">
        <v>831</v>
      </c>
      <c r="B680" s="147">
        <v>43123</v>
      </c>
      <c r="C680" s="147">
        <v>43465</v>
      </c>
      <c r="D680" s="96">
        <v>45</v>
      </c>
      <c r="E680" s="22">
        <v>0</v>
      </c>
      <c r="F680" s="22">
        <v>3305.36</v>
      </c>
      <c r="G680" s="22">
        <v>0</v>
      </c>
      <c r="H680" s="87">
        <f t="shared" si="57"/>
        <v>3305.36</v>
      </c>
      <c r="I680" s="87">
        <f t="shared" si="58"/>
        <v>3305.36</v>
      </c>
      <c r="J680" s="119"/>
      <c r="K680" s="83"/>
      <c r="L680" s="155"/>
    </row>
    <row r="681" spans="1:12" s="82" customFormat="1" outlineLevel="1" x14ac:dyDescent="0.2">
      <c r="A681" s="133" t="s">
        <v>832</v>
      </c>
      <c r="B681" s="147">
        <v>43074</v>
      </c>
      <c r="C681" s="147">
        <v>43465</v>
      </c>
      <c r="D681" s="96">
        <v>40</v>
      </c>
      <c r="E681" s="22">
        <v>0</v>
      </c>
      <c r="F681" s="22">
        <v>11138.19</v>
      </c>
      <c r="G681" s="22">
        <v>0</v>
      </c>
      <c r="H681" s="87">
        <f t="shared" si="57"/>
        <v>11138.19</v>
      </c>
      <c r="I681" s="87">
        <f t="shared" si="58"/>
        <v>11138.19</v>
      </c>
      <c r="J681" s="119"/>
      <c r="K681" s="83"/>
      <c r="L681" s="155"/>
    </row>
    <row r="682" spans="1:12" s="82" customFormat="1" outlineLevel="1" x14ac:dyDescent="0.2">
      <c r="A682" s="133" t="s">
        <v>833</v>
      </c>
      <c r="B682" s="147">
        <v>42999</v>
      </c>
      <c r="C682" s="147">
        <v>43465</v>
      </c>
      <c r="D682" s="96">
        <v>90</v>
      </c>
      <c r="E682" s="103">
        <v>36539.49</v>
      </c>
      <c r="F682" s="103">
        <v>9066.7800000000007</v>
      </c>
      <c r="G682" s="22">
        <v>0</v>
      </c>
      <c r="H682" s="87">
        <f t="shared" si="57"/>
        <v>45606.27</v>
      </c>
      <c r="I682" s="87">
        <f t="shared" si="58"/>
        <v>45606.27</v>
      </c>
      <c r="J682" s="119"/>
      <c r="K682" s="83"/>
      <c r="L682" s="155"/>
    </row>
    <row r="683" spans="1:12" s="82" customFormat="1" outlineLevel="1" x14ac:dyDescent="0.2">
      <c r="A683" s="133" t="s">
        <v>834</v>
      </c>
      <c r="B683" s="147">
        <v>43063</v>
      </c>
      <c r="C683" s="147">
        <v>43465</v>
      </c>
      <c r="D683" s="96">
        <v>40</v>
      </c>
      <c r="E683" s="22">
        <v>0</v>
      </c>
      <c r="F683" s="22">
        <v>7867.04</v>
      </c>
      <c r="G683" s="22">
        <v>0</v>
      </c>
      <c r="H683" s="87">
        <f t="shared" si="57"/>
        <v>7867.04</v>
      </c>
      <c r="I683" s="87">
        <f t="shared" si="58"/>
        <v>7867.04</v>
      </c>
      <c r="J683" s="119"/>
      <c r="K683" s="83"/>
      <c r="L683" s="155"/>
    </row>
    <row r="684" spans="1:12" s="82" customFormat="1" outlineLevel="1" x14ac:dyDescent="0.2">
      <c r="A684" s="133" t="s">
        <v>835</v>
      </c>
      <c r="B684" s="147">
        <v>43046</v>
      </c>
      <c r="C684" s="147">
        <v>43465</v>
      </c>
      <c r="D684" s="96">
        <v>80</v>
      </c>
      <c r="E684" s="103">
        <v>30881.47</v>
      </c>
      <c r="F684" s="103">
        <v>10188.16</v>
      </c>
      <c r="G684" s="22">
        <v>0</v>
      </c>
      <c r="H684" s="87">
        <f t="shared" si="57"/>
        <v>41069.630000000005</v>
      </c>
      <c r="I684" s="87">
        <f t="shared" si="58"/>
        <v>41069.630000000005</v>
      </c>
      <c r="J684" s="119"/>
      <c r="K684" s="83"/>
      <c r="L684" s="155"/>
    </row>
    <row r="685" spans="1:12" s="82" customFormat="1" ht="24" outlineLevel="1" x14ac:dyDescent="0.2">
      <c r="A685" s="133" t="s">
        <v>836</v>
      </c>
      <c r="B685" s="147">
        <v>42954</v>
      </c>
      <c r="C685" s="147">
        <v>43465</v>
      </c>
      <c r="D685" s="96">
        <v>45</v>
      </c>
      <c r="E685" s="22">
        <v>0</v>
      </c>
      <c r="F685" s="22">
        <v>13401.75</v>
      </c>
      <c r="G685" s="22">
        <v>0</v>
      </c>
      <c r="H685" s="87">
        <f t="shared" ref="H685:H759" si="59">E685+F685+G685</f>
        <v>13401.75</v>
      </c>
      <c r="I685" s="87">
        <f t="shared" ref="I685:I759" si="60">H685</f>
        <v>13401.75</v>
      </c>
      <c r="J685" s="119"/>
      <c r="K685" s="83"/>
      <c r="L685" s="155"/>
    </row>
    <row r="686" spans="1:12" s="82" customFormat="1" outlineLevel="1" x14ac:dyDescent="0.2">
      <c r="A686" s="133" t="s">
        <v>837</v>
      </c>
      <c r="B686" s="147">
        <v>43054</v>
      </c>
      <c r="C686" s="147">
        <v>43465</v>
      </c>
      <c r="D686" s="96">
        <v>50</v>
      </c>
      <c r="E686" s="22">
        <v>0</v>
      </c>
      <c r="F686" s="103">
        <v>29737.08</v>
      </c>
      <c r="G686" s="22">
        <v>0</v>
      </c>
      <c r="H686" s="87">
        <f t="shared" si="59"/>
        <v>29737.08</v>
      </c>
      <c r="I686" s="87">
        <f t="shared" si="60"/>
        <v>29737.08</v>
      </c>
      <c r="J686" s="119"/>
      <c r="K686" s="83"/>
      <c r="L686" s="155"/>
    </row>
    <row r="687" spans="1:12" s="82" customFormat="1" outlineLevel="1" x14ac:dyDescent="0.2">
      <c r="A687" s="133" t="s">
        <v>838</v>
      </c>
      <c r="B687" s="147">
        <v>43171</v>
      </c>
      <c r="C687" s="147">
        <v>43465</v>
      </c>
      <c r="D687" s="96">
        <v>40</v>
      </c>
      <c r="E687" s="22">
        <v>0</v>
      </c>
      <c r="F687" s="22">
        <v>3305.36</v>
      </c>
      <c r="G687" s="22">
        <v>0</v>
      </c>
      <c r="H687" s="87">
        <f t="shared" si="59"/>
        <v>3305.36</v>
      </c>
      <c r="I687" s="87">
        <f t="shared" si="60"/>
        <v>3305.36</v>
      </c>
      <c r="J687" s="119"/>
      <c r="K687" s="83"/>
      <c r="L687" s="155"/>
    </row>
    <row r="688" spans="1:12" s="82" customFormat="1" outlineLevel="1" x14ac:dyDescent="0.2">
      <c r="A688" s="133" t="s">
        <v>839</v>
      </c>
      <c r="B688" s="147">
        <v>43088</v>
      </c>
      <c r="C688" s="147">
        <v>43465</v>
      </c>
      <c r="D688" s="96">
        <v>70</v>
      </c>
      <c r="E688" s="22">
        <v>40657.99</v>
      </c>
      <c r="F688" s="103">
        <v>5034.95</v>
      </c>
      <c r="G688" s="22">
        <v>0</v>
      </c>
      <c r="H688" s="87">
        <f t="shared" si="59"/>
        <v>45692.939999999995</v>
      </c>
      <c r="I688" s="87">
        <f t="shared" si="60"/>
        <v>45692.939999999995</v>
      </c>
      <c r="J688" s="119"/>
      <c r="K688" s="83"/>
      <c r="L688" s="155"/>
    </row>
    <row r="689" spans="1:12" s="82" customFormat="1" ht="24" outlineLevel="1" x14ac:dyDescent="0.2">
      <c r="A689" s="133" t="s">
        <v>840</v>
      </c>
      <c r="B689" s="147">
        <v>43097</v>
      </c>
      <c r="C689" s="147">
        <v>43465</v>
      </c>
      <c r="D689" s="96">
        <v>55</v>
      </c>
      <c r="E689" s="22">
        <v>0</v>
      </c>
      <c r="F689" s="22">
        <v>9024.86</v>
      </c>
      <c r="G689" s="22">
        <v>0</v>
      </c>
      <c r="H689" s="87">
        <f t="shared" si="59"/>
        <v>9024.86</v>
      </c>
      <c r="I689" s="87">
        <f t="shared" si="60"/>
        <v>9024.86</v>
      </c>
      <c r="J689" s="119"/>
      <c r="K689" s="83"/>
      <c r="L689" s="155"/>
    </row>
    <row r="690" spans="1:12" s="82" customFormat="1" ht="24" outlineLevel="1" x14ac:dyDescent="0.2">
      <c r="A690" s="133" t="s">
        <v>841</v>
      </c>
      <c r="B690" s="148">
        <v>42656</v>
      </c>
      <c r="C690" s="147">
        <v>43465</v>
      </c>
      <c r="D690" s="96"/>
      <c r="E690" s="22">
        <v>0</v>
      </c>
      <c r="F690" s="22">
        <v>0</v>
      </c>
      <c r="G690" s="22">
        <v>588.14</v>
      </c>
      <c r="H690" s="87">
        <f t="shared" si="59"/>
        <v>588.14</v>
      </c>
      <c r="I690" s="87">
        <f t="shared" si="60"/>
        <v>588.14</v>
      </c>
      <c r="J690" s="119"/>
      <c r="K690" s="83"/>
      <c r="L690" s="155"/>
    </row>
    <row r="691" spans="1:12" s="82" customFormat="1" ht="24" outlineLevel="1" x14ac:dyDescent="0.2">
      <c r="A691" s="133" t="s">
        <v>842</v>
      </c>
      <c r="B691" s="147">
        <v>43000</v>
      </c>
      <c r="C691" s="147">
        <v>43465</v>
      </c>
      <c r="D691" s="96">
        <v>95</v>
      </c>
      <c r="E691" s="22">
        <v>17060.990000000002</v>
      </c>
      <c r="F691" s="22">
        <v>57763.99</v>
      </c>
      <c r="G691" s="22">
        <v>0</v>
      </c>
      <c r="H691" s="87">
        <f t="shared" si="59"/>
        <v>74824.98</v>
      </c>
      <c r="I691" s="87">
        <f t="shared" si="60"/>
        <v>74824.98</v>
      </c>
      <c r="J691" s="119"/>
      <c r="K691" s="83"/>
      <c r="L691" s="155"/>
    </row>
    <row r="692" spans="1:12" s="82" customFormat="1" ht="24" outlineLevel="1" x14ac:dyDescent="0.2">
      <c r="A692" s="133" t="s">
        <v>843</v>
      </c>
      <c r="B692" s="147">
        <v>42993</v>
      </c>
      <c r="C692" s="147">
        <v>43465</v>
      </c>
      <c r="D692" s="96">
        <v>70</v>
      </c>
      <c r="E692" s="22">
        <v>0</v>
      </c>
      <c r="F692" s="103">
        <v>15720.45</v>
      </c>
      <c r="G692" s="22">
        <v>0</v>
      </c>
      <c r="H692" s="87">
        <f t="shared" si="59"/>
        <v>15720.45</v>
      </c>
      <c r="I692" s="87">
        <f t="shared" si="60"/>
        <v>15720.45</v>
      </c>
      <c r="J692" s="119"/>
      <c r="K692" s="83"/>
      <c r="L692" s="155"/>
    </row>
    <row r="693" spans="1:12" s="82" customFormat="1" ht="24" outlineLevel="1" x14ac:dyDescent="0.2">
      <c r="A693" s="35" t="s">
        <v>1086</v>
      </c>
      <c r="B693" s="148">
        <v>42788</v>
      </c>
      <c r="C693" s="147">
        <v>43465</v>
      </c>
      <c r="D693" s="96">
        <v>40</v>
      </c>
      <c r="E693" s="22">
        <v>53853.89</v>
      </c>
      <c r="F693" s="22"/>
      <c r="G693" s="22"/>
      <c r="H693" s="87">
        <f t="shared" ref="H693:H695" si="61">F693+E693+G693</f>
        <v>53853.89</v>
      </c>
      <c r="I693" s="77">
        <f t="shared" si="60"/>
        <v>53853.89</v>
      </c>
      <c r="J693" s="119"/>
      <c r="K693" s="83"/>
      <c r="L693" s="155"/>
    </row>
    <row r="694" spans="1:12" s="82" customFormat="1" ht="24" outlineLevel="1" x14ac:dyDescent="0.2">
      <c r="A694" s="35" t="s">
        <v>1087</v>
      </c>
      <c r="B694" s="148">
        <v>42398</v>
      </c>
      <c r="C694" s="147">
        <v>43465</v>
      </c>
      <c r="D694" s="96">
        <v>70</v>
      </c>
      <c r="E694" s="22">
        <v>69024</v>
      </c>
      <c r="F694" s="22">
        <v>51748.23</v>
      </c>
      <c r="G694" s="22"/>
      <c r="H694" s="87">
        <f t="shared" si="61"/>
        <v>120772.23000000001</v>
      </c>
      <c r="I694" s="77">
        <f t="shared" si="60"/>
        <v>120772.23000000001</v>
      </c>
      <c r="J694" s="31"/>
      <c r="K694" s="45"/>
      <c r="L694" s="155"/>
    </row>
    <row r="695" spans="1:12" s="82" customFormat="1" ht="24" outlineLevel="1" x14ac:dyDescent="0.2">
      <c r="A695" s="35" t="s">
        <v>1088</v>
      </c>
      <c r="B695" s="148">
        <v>42817</v>
      </c>
      <c r="C695" s="147">
        <v>43465</v>
      </c>
      <c r="D695" s="96">
        <v>97</v>
      </c>
      <c r="E695" s="22">
        <v>70990.429999999993</v>
      </c>
      <c r="F695" s="22">
        <v>195453.9</v>
      </c>
      <c r="G695" s="22"/>
      <c r="H695" s="87">
        <f t="shared" si="61"/>
        <v>266444.32999999996</v>
      </c>
      <c r="I695" s="77">
        <f t="shared" si="60"/>
        <v>266444.32999999996</v>
      </c>
      <c r="J695" s="31"/>
      <c r="K695" s="45"/>
      <c r="L695" s="155"/>
    </row>
    <row r="696" spans="1:12" s="82" customFormat="1" ht="24" outlineLevel="1" x14ac:dyDescent="0.2">
      <c r="A696" s="133" t="s">
        <v>844</v>
      </c>
      <c r="B696" s="147">
        <v>42902</v>
      </c>
      <c r="C696" s="147">
        <v>43465</v>
      </c>
      <c r="D696" s="96">
        <v>75</v>
      </c>
      <c r="E696" s="103">
        <v>22843.71</v>
      </c>
      <c r="F696" s="103">
        <v>7150.78</v>
      </c>
      <c r="G696" s="22">
        <v>0</v>
      </c>
      <c r="H696" s="87">
        <f t="shared" si="59"/>
        <v>29994.489999999998</v>
      </c>
      <c r="I696" s="87">
        <f t="shared" si="60"/>
        <v>29994.489999999998</v>
      </c>
      <c r="J696" s="119"/>
      <c r="K696" s="83"/>
      <c r="L696" s="155"/>
    </row>
    <row r="697" spans="1:12" s="82" customFormat="1" ht="24" outlineLevel="1" x14ac:dyDescent="0.2">
      <c r="A697" s="133" t="s">
        <v>845</v>
      </c>
      <c r="B697" s="147">
        <v>42523</v>
      </c>
      <c r="C697" s="147">
        <v>43465</v>
      </c>
      <c r="D697" s="96">
        <v>90</v>
      </c>
      <c r="E697" s="103">
        <v>64512.61</v>
      </c>
      <c r="F697" s="103">
        <v>13505.78</v>
      </c>
      <c r="G697" s="22">
        <v>0</v>
      </c>
      <c r="H697" s="87">
        <f t="shared" si="59"/>
        <v>78018.39</v>
      </c>
      <c r="I697" s="87">
        <f t="shared" si="60"/>
        <v>78018.39</v>
      </c>
      <c r="J697" s="119"/>
      <c r="K697" s="83"/>
      <c r="L697" s="155"/>
    </row>
    <row r="698" spans="1:12" ht="24" x14ac:dyDescent="0.2">
      <c r="A698" s="35" t="s">
        <v>1089</v>
      </c>
      <c r="B698" s="148">
        <v>42713</v>
      </c>
      <c r="C698" s="147">
        <v>43465</v>
      </c>
      <c r="D698" s="96">
        <v>40</v>
      </c>
      <c r="E698" s="22">
        <v>19023</v>
      </c>
      <c r="F698" s="22"/>
      <c r="G698" s="22"/>
      <c r="H698" s="87">
        <f t="shared" ref="H698" si="62">F698+E698+G698</f>
        <v>19023</v>
      </c>
      <c r="I698" s="77">
        <f t="shared" si="60"/>
        <v>19023</v>
      </c>
      <c r="J698" s="31"/>
      <c r="K698" s="45"/>
      <c r="L698" s="155"/>
    </row>
    <row r="699" spans="1:12" s="82" customFormat="1" ht="24" outlineLevel="1" x14ac:dyDescent="0.2">
      <c r="A699" s="133" t="s">
        <v>846</v>
      </c>
      <c r="B699" s="147">
        <v>43052</v>
      </c>
      <c r="C699" s="147">
        <v>43465</v>
      </c>
      <c r="D699" s="96">
        <v>80</v>
      </c>
      <c r="E699" s="103">
        <v>1849.01</v>
      </c>
      <c r="F699" s="22">
        <v>35310.43</v>
      </c>
      <c r="G699" s="22">
        <v>0</v>
      </c>
      <c r="H699" s="87">
        <f t="shared" si="59"/>
        <v>37159.440000000002</v>
      </c>
      <c r="I699" s="87">
        <f t="shared" si="60"/>
        <v>37159.440000000002</v>
      </c>
      <c r="J699" s="119"/>
      <c r="K699" s="83"/>
      <c r="L699" s="155"/>
    </row>
    <row r="700" spans="1:12" s="82" customFormat="1" ht="24" outlineLevel="1" x14ac:dyDescent="0.2">
      <c r="A700" s="133" t="s">
        <v>847</v>
      </c>
      <c r="B700" s="147">
        <v>43080</v>
      </c>
      <c r="C700" s="147">
        <v>43207</v>
      </c>
      <c r="D700" s="96">
        <v>90</v>
      </c>
      <c r="E700" s="22">
        <v>34102.620000000003</v>
      </c>
      <c r="F700" s="22">
        <v>10016.77</v>
      </c>
      <c r="G700" s="22">
        <v>0</v>
      </c>
      <c r="H700" s="87">
        <f t="shared" si="59"/>
        <v>44119.39</v>
      </c>
      <c r="I700" s="87">
        <f t="shared" si="60"/>
        <v>44119.39</v>
      </c>
      <c r="J700" s="119"/>
      <c r="K700" s="83"/>
      <c r="L700" s="155"/>
    </row>
    <row r="701" spans="1:12" ht="24" x14ac:dyDescent="0.2">
      <c r="A701" s="35" t="s">
        <v>1090</v>
      </c>
      <c r="B701" s="148">
        <v>42674</v>
      </c>
      <c r="C701" s="147">
        <v>43465</v>
      </c>
      <c r="D701" s="96">
        <v>40</v>
      </c>
      <c r="E701" s="22">
        <v>16542.13</v>
      </c>
      <c r="F701" s="22"/>
      <c r="G701" s="22"/>
      <c r="H701" s="87">
        <f t="shared" ref="H701" si="63">F701+E701+G701</f>
        <v>16542.13</v>
      </c>
      <c r="I701" s="77">
        <f t="shared" si="60"/>
        <v>16542.13</v>
      </c>
      <c r="J701" s="31"/>
      <c r="K701" s="45"/>
      <c r="L701" s="155"/>
    </row>
    <row r="702" spans="1:12" s="82" customFormat="1" ht="24" hidden="1" outlineLevel="1" x14ac:dyDescent="0.2">
      <c r="A702" s="133" t="s">
        <v>848</v>
      </c>
      <c r="B702" s="147">
        <v>42935</v>
      </c>
      <c r="C702" s="147"/>
      <c r="D702" s="96">
        <v>40</v>
      </c>
      <c r="E702" s="22">
        <v>0</v>
      </c>
      <c r="F702" s="22">
        <v>5719.5</v>
      </c>
      <c r="G702" s="22">
        <v>0</v>
      </c>
      <c r="H702" s="87">
        <f t="shared" si="59"/>
        <v>5719.5</v>
      </c>
      <c r="I702" s="87">
        <f t="shared" si="60"/>
        <v>5719.5</v>
      </c>
      <c r="J702" s="119"/>
      <c r="K702" s="83"/>
      <c r="L702" s="155"/>
    </row>
    <row r="703" spans="1:12" s="82" customFormat="1" ht="24" hidden="1" outlineLevel="1" x14ac:dyDescent="0.2">
      <c r="A703" s="35" t="s">
        <v>849</v>
      </c>
      <c r="B703" s="148">
        <v>42814</v>
      </c>
      <c r="C703" s="147">
        <v>43465</v>
      </c>
      <c r="D703" s="96">
        <v>40</v>
      </c>
      <c r="E703" s="22">
        <v>12074.72</v>
      </c>
      <c r="F703" s="22"/>
      <c r="G703" s="22"/>
      <c r="H703" s="87">
        <f t="shared" ref="H703" si="64">F703+E703+G703</f>
        <v>12074.72</v>
      </c>
      <c r="I703" s="77">
        <f t="shared" si="60"/>
        <v>12074.72</v>
      </c>
      <c r="J703" s="31"/>
      <c r="K703" s="83"/>
      <c r="L703" s="155"/>
    </row>
    <row r="704" spans="1:12" s="82" customFormat="1" ht="24" hidden="1" outlineLevel="1" x14ac:dyDescent="0.2">
      <c r="A704" s="133" t="s">
        <v>850</v>
      </c>
      <c r="B704" s="147">
        <v>43033</v>
      </c>
      <c r="C704" s="147"/>
      <c r="D704" s="96">
        <v>80</v>
      </c>
      <c r="E704" s="22">
        <v>0</v>
      </c>
      <c r="F704" s="22">
        <v>9100.83</v>
      </c>
      <c r="G704" s="22">
        <v>0</v>
      </c>
      <c r="H704" s="87">
        <f t="shared" si="59"/>
        <v>9100.83</v>
      </c>
      <c r="I704" s="87">
        <f t="shared" si="60"/>
        <v>9100.83</v>
      </c>
      <c r="J704" s="119"/>
      <c r="K704" s="83"/>
      <c r="L704" s="155"/>
    </row>
    <row r="705" spans="1:12" s="82" customFormat="1" ht="24" hidden="1" outlineLevel="1" x14ac:dyDescent="0.2">
      <c r="A705" s="133" t="s">
        <v>851</v>
      </c>
      <c r="B705" s="147">
        <v>42949</v>
      </c>
      <c r="C705" s="147"/>
      <c r="D705" s="96">
        <v>50</v>
      </c>
      <c r="E705" s="22">
        <v>0</v>
      </c>
      <c r="F705" s="22">
        <v>21154.43</v>
      </c>
      <c r="G705" s="22">
        <v>0</v>
      </c>
      <c r="H705" s="87">
        <f t="shared" si="59"/>
        <v>21154.43</v>
      </c>
      <c r="I705" s="87">
        <f t="shared" si="60"/>
        <v>21154.43</v>
      </c>
      <c r="J705" s="119"/>
      <c r="K705" s="83"/>
      <c r="L705" s="155"/>
    </row>
    <row r="706" spans="1:12" s="82" customFormat="1" ht="24" hidden="1" outlineLevel="1" x14ac:dyDescent="0.2">
      <c r="A706" s="133" t="s">
        <v>852</v>
      </c>
      <c r="B706" s="147">
        <v>42950</v>
      </c>
      <c r="C706" s="147"/>
      <c r="D706" s="96">
        <v>50</v>
      </c>
      <c r="E706" s="22">
        <v>0</v>
      </c>
      <c r="F706" s="103">
        <v>2825.44</v>
      </c>
      <c r="G706" s="22">
        <v>0</v>
      </c>
      <c r="H706" s="87">
        <f t="shared" si="59"/>
        <v>2825.44</v>
      </c>
      <c r="I706" s="87">
        <f t="shared" si="60"/>
        <v>2825.44</v>
      </c>
      <c r="J706" s="119"/>
      <c r="K706" s="83"/>
      <c r="L706" s="155"/>
    </row>
    <row r="707" spans="1:12" s="82" customFormat="1" ht="24" hidden="1" outlineLevel="1" x14ac:dyDescent="0.2">
      <c r="A707" s="133" t="s">
        <v>853</v>
      </c>
      <c r="B707" s="147">
        <v>42745</v>
      </c>
      <c r="C707" s="147"/>
      <c r="D707" s="96">
        <v>80</v>
      </c>
      <c r="E707" s="22">
        <v>0</v>
      </c>
      <c r="F707" s="22">
        <v>11227.97</v>
      </c>
      <c r="G707" s="22">
        <v>0</v>
      </c>
      <c r="H707" s="87">
        <f t="shared" si="59"/>
        <v>11227.97</v>
      </c>
      <c r="I707" s="87">
        <f t="shared" si="60"/>
        <v>11227.97</v>
      </c>
      <c r="J707" s="119"/>
      <c r="K707" s="83"/>
      <c r="L707" s="155"/>
    </row>
    <row r="708" spans="1:12" s="82" customFormat="1" ht="24" hidden="1" outlineLevel="1" x14ac:dyDescent="0.2">
      <c r="A708" s="35" t="s">
        <v>1091</v>
      </c>
      <c r="B708" s="148">
        <v>42503</v>
      </c>
      <c r="C708" s="147">
        <v>43465</v>
      </c>
      <c r="D708" s="96">
        <v>65</v>
      </c>
      <c r="E708" s="22">
        <v>92509.65</v>
      </c>
      <c r="F708" s="22"/>
      <c r="G708" s="22"/>
      <c r="H708" s="87">
        <f t="shared" ref="H708" si="65">F708+E708+G708</f>
        <v>92509.65</v>
      </c>
      <c r="I708" s="77">
        <f t="shared" si="60"/>
        <v>92509.65</v>
      </c>
      <c r="J708" s="119"/>
      <c r="K708" s="83"/>
      <c r="L708" s="155"/>
    </row>
    <row r="709" spans="1:12" s="82" customFormat="1" hidden="1" outlineLevel="1" x14ac:dyDescent="0.2">
      <c r="A709" s="133" t="s">
        <v>854</v>
      </c>
      <c r="B709" s="147">
        <v>43054</v>
      </c>
      <c r="C709" s="147"/>
      <c r="D709" s="96">
        <v>70</v>
      </c>
      <c r="E709" s="22">
        <v>0</v>
      </c>
      <c r="F709" s="22">
        <v>9024.86</v>
      </c>
      <c r="G709" s="22">
        <v>0</v>
      </c>
      <c r="H709" s="87">
        <f t="shared" si="59"/>
        <v>9024.86</v>
      </c>
      <c r="I709" s="87">
        <f t="shared" si="60"/>
        <v>9024.86</v>
      </c>
      <c r="J709" s="119"/>
      <c r="K709" s="83"/>
      <c r="L709" s="155"/>
    </row>
    <row r="710" spans="1:12" s="82" customFormat="1" ht="24" hidden="1" outlineLevel="1" x14ac:dyDescent="0.2">
      <c r="A710" s="133" t="s">
        <v>855</v>
      </c>
      <c r="B710" s="147">
        <v>43032</v>
      </c>
      <c r="C710" s="147">
        <v>43119</v>
      </c>
      <c r="D710" s="96">
        <v>95</v>
      </c>
      <c r="E710" s="103">
        <v>26447.4</v>
      </c>
      <c r="F710" s="103">
        <v>8095.6</v>
      </c>
      <c r="G710" s="22">
        <v>0</v>
      </c>
      <c r="H710" s="87">
        <f t="shared" si="59"/>
        <v>34543</v>
      </c>
      <c r="I710" s="87">
        <f t="shared" si="60"/>
        <v>34543</v>
      </c>
      <c r="J710" s="119"/>
      <c r="K710" s="83"/>
      <c r="L710" s="155"/>
    </row>
    <row r="711" spans="1:12" s="82" customFormat="1" ht="24" hidden="1" outlineLevel="1" x14ac:dyDescent="0.2">
      <c r="A711" s="133" t="s">
        <v>856</v>
      </c>
      <c r="B711" s="147">
        <v>42936</v>
      </c>
      <c r="C711" s="147"/>
      <c r="D711" s="96">
        <v>50</v>
      </c>
      <c r="E711" s="22">
        <v>0</v>
      </c>
      <c r="F711" s="22">
        <v>10310.56</v>
      </c>
      <c r="G711" s="22">
        <v>0</v>
      </c>
      <c r="H711" s="87">
        <f t="shared" si="59"/>
        <v>10310.56</v>
      </c>
      <c r="I711" s="87">
        <f t="shared" si="60"/>
        <v>10310.56</v>
      </c>
      <c r="J711" s="119"/>
      <c r="K711" s="83"/>
      <c r="L711" s="155"/>
    </row>
    <row r="712" spans="1:12" s="82" customFormat="1" hidden="1" outlineLevel="1" x14ac:dyDescent="0.2">
      <c r="A712" s="133" t="s">
        <v>857</v>
      </c>
      <c r="B712" s="147"/>
      <c r="C712" s="147"/>
      <c r="D712" s="96"/>
      <c r="E712" s="22">
        <v>0</v>
      </c>
      <c r="F712" s="22">
        <v>16740.68</v>
      </c>
      <c r="G712" s="22">
        <v>0</v>
      </c>
      <c r="H712" s="87">
        <f t="shared" si="59"/>
        <v>16740.68</v>
      </c>
      <c r="I712" s="87">
        <f t="shared" si="60"/>
        <v>16740.68</v>
      </c>
      <c r="J712" s="119"/>
      <c r="K712" s="83"/>
      <c r="L712" s="155"/>
    </row>
    <row r="713" spans="1:12" s="82" customFormat="1" ht="24" hidden="1" outlineLevel="1" x14ac:dyDescent="0.2">
      <c r="A713" s="133" t="s">
        <v>858</v>
      </c>
      <c r="B713" s="147">
        <v>43076</v>
      </c>
      <c r="C713" s="147"/>
      <c r="D713" s="96">
        <v>70</v>
      </c>
      <c r="E713" s="22">
        <v>24911.72</v>
      </c>
      <c r="F713" s="22">
        <v>8328.41</v>
      </c>
      <c r="G713" s="22">
        <v>0</v>
      </c>
      <c r="H713" s="87">
        <f t="shared" si="59"/>
        <v>33240.130000000005</v>
      </c>
      <c r="I713" s="87">
        <f t="shared" si="60"/>
        <v>33240.130000000005</v>
      </c>
      <c r="J713" s="119"/>
      <c r="K713" s="83"/>
      <c r="L713" s="155"/>
    </row>
    <row r="714" spans="1:12" s="82" customFormat="1" ht="24" hidden="1" outlineLevel="1" x14ac:dyDescent="0.2">
      <c r="A714" s="35" t="s">
        <v>859</v>
      </c>
      <c r="B714" s="148">
        <v>42873</v>
      </c>
      <c r="C714" s="147">
        <v>43190</v>
      </c>
      <c r="D714" s="96">
        <v>98</v>
      </c>
      <c r="E714" s="22">
        <v>41244.28</v>
      </c>
      <c r="F714" s="22">
        <v>38674.81</v>
      </c>
      <c r="G714" s="22"/>
      <c r="H714" s="87">
        <f t="shared" ref="H714" si="66">F714+E714+G714</f>
        <v>79919.09</v>
      </c>
      <c r="I714" s="77">
        <f t="shared" si="60"/>
        <v>79919.09</v>
      </c>
      <c r="J714" s="119"/>
      <c r="K714" s="83"/>
      <c r="L714" s="155"/>
    </row>
    <row r="715" spans="1:12" s="82" customFormat="1" ht="24" hidden="1" outlineLevel="1" x14ac:dyDescent="0.2">
      <c r="A715" s="133" t="s">
        <v>860</v>
      </c>
      <c r="B715" s="147">
        <v>42990</v>
      </c>
      <c r="C715" s="147">
        <v>43133</v>
      </c>
      <c r="D715" s="96">
        <v>95</v>
      </c>
      <c r="E715" s="103">
        <v>18859.400000000001</v>
      </c>
      <c r="F715" s="103">
        <v>6573.06</v>
      </c>
      <c r="G715" s="22">
        <v>0</v>
      </c>
      <c r="H715" s="87">
        <f>E715+F715+G715</f>
        <v>25432.460000000003</v>
      </c>
      <c r="I715" s="87">
        <f t="shared" si="60"/>
        <v>25432.460000000003</v>
      </c>
      <c r="J715" s="119"/>
      <c r="K715" s="83"/>
      <c r="L715" s="155"/>
    </row>
    <row r="716" spans="1:12" s="82" customFormat="1" ht="24" hidden="1" outlineLevel="1" x14ac:dyDescent="0.2">
      <c r="A716" s="35" t="s">
        <v>1092</v>
      </c>
      <c r="B716" s="148">
        <v>42726</v>
      </c>
      <c r="C716" s="147">
        <v>43190</v>
      </c>
      <c r="D716" s="96">
        <v>98</v>
      </c>
      <c r="E716" s="22">
        <v>17553.330000000002</v>
      </c>
      <c r="F716" s="22">
        <v>66269.75</v>
      </c>
      <c r="G716" s="22"/>
      <c r="H716" s="87">
        <f t="shared" ref="H716" si="67">F716+E716+G716</f>
        <v>83823.08</v>
      </c>
      <c r="I716" s="77">
        <f t="shared" si="60"/>
        <v>83823.08</v>
      </c>
      <c r="J716" s="119"/>
      <c r="K716" s="83"/>
      <c r="L716" s="155"/>
    </row>
    <row r="717" spans="1:12" s="82" customFormat="1" ht="24" hidden="1" outlineLevel="1" x14ac:dyDescent="0.2">
      <c r="A717" s="133" t="s">
        <v>861</v>
      </c>
      <c r="B717" s="147">
        <v>42982</v>
      </c>
      <c r="C717" s="147"/>
      <c r="D717" s="96">
        <v>60</v>
      </c>
      <c r="E717" s="22">
        <v>0</v>
      </c>
      <c r="F717" s="22">
        <v>22596.93</v>
      </c>
      <c r="G717" s="22">
        <v>0</v>
      </c>
      <c r="H717" s="87">
        <f>E717+F717+G717</f>
        <v>22596.93</v>
      </c>
      <c r="I717" s="87">
        <f t="shared" si="60"/>
        <v>22596.93</v>
      </c>
      <c r="J717" s="119"/>
      <c r="K717" s="83"/>
      <c r="L717" s="155"/>
    </row>
    <row r="718" spans="1:12" s="82" customFormat="1" ht="24" hidden="1" outlineLevel="1" x14ac:dyDescent="0.2">
      <c r="A718" s="133" t="s">
        <v>862</v>
      </c>
      <c r="B718" s="147">
        <v>42387</v>
      </c>
      <c r="C718" s="147"/>
      <c r="D718" s="96">
        <v>50</v>
      </c>
      <c r="E718" s="22">
        <v>0</v>
      </c>
      <c r="F718" s="22">
        <v>28603.11</v>
      </c>
      <c r="G718" s="22">
        <v>0</v>
      </c>
      <c r="H718" s="87">
        <f t="shared" si="59"/>
        <v>28603.11</v>
      </c>
      <c r="I718" s="87">
        <f t="shared" si="60"/>
        <v>28603.11</v>
      </c>
      <c r="J718" s="119"/>
      <c r="K718" s="83"/>
      <c r="L718" s="155"/>
    </row>
    <row r="719" spans="1:12" s="82" customFormat="1" ht="24" hidden="1" outlineLevel="1" x14ac:dyDescent="0.2">
      <c r="A719" s="133" t="s">
        <v>863</v>
      </c>
      <c r="B719" s="147">
        <v>42859</v>
      </c>
      <c r="C719" s="147"/>
      <c r="D719" s="96">
        <v>50</v>
      </c>
      <c r="E719" s="22">
        <v>0</v>
      </c>
      <c r="F719" s="22">
        <v>12611.75</v>
      </c>
      <c r="G719" s="22">
        <v>0</v>
      </c>
      <c r="H719" s="87">
        <f t="shared" si="59"/>
        <v>12611.75</v>
      </c>
      <c r="I719" s="87">
        <f t="shared" si="60"/>
        <v>12611.75</v>
      </c>
      <c r="J719" s="119"/>
      <c r="K719" s="83"/>
      <c r="L719" s="155"/>
    </row>
    <row r="720" spans="1:12" s="82" customFormat="1" ht="24" hidden="1" outlineLevel="1" x14ac:dyDescent="0.2">
      <c r="A720" s="133" t="s">
        <v>864</v>
      </c>
      <c r="B720" s="147">
        <v>42803</v>
      </c>
      <c r="C720" s="147"/>
      <c r="D720" s="96">
        <v>50</v>
      </c>
      <c r="E720" s="22">
        <v>0</v>
      </c>
      <c r="F720" s="22">
        <v>1550.46</v>
      </c>
      <c r="G720" s="22">
        <v>0</v>
      </c>
      <c r="H720" s="87">
        <f t="shared" si="59"/>
        <v>1550.46</v>
      </c>
      <c r="I720" s="87">
        <f t="shared" si="60"/>
        <v>1550.46</v>
      </c>
      <c r="J720" s="119"/>
      <c r="K720" s="83"/>
      <c r="L720" s="155"/>
    </row>
    <row r="721" spans="1:12" s="82" customFormat="1" ht="24" hidden="1" outlineLevel="1" x14ac:dyDescent="0.2">
      <c r="A721" s="133" t="s">
        <v>865</v>
      </c>
      <c r="B721" s="147">
        <v>42754</v>
      </c>
      <c r="C721" s="147"/>
      <c r="D721" s="96">
        <v>50</v>
      </c>
      <c r="E721" s="22">
        <v>0</v>
      </c>
      <c r="F721" s="22">
        <v>19072.89</v>
      </c>
      <c r="G721" s="22">
        <v>0</v>
      </c>
      <c r="H721" s="87">
        <f t="shared" si="59"/>
        <v>19072.89</v>
      </c>
      <c r="I721" s="87">
        <f t="shared" si="60"/>
        <v>19072.89</v>
      </c>
      <c r="J721" s="119"/>
      <c r="K721" s="83"/>
      <c r="L721" s="155"/>
    </row>
    <row r="722" spans="1:12" s="82" customFormat="1" ht="36" hidden="1" customHeight="1" outlineLevel="1" x14ac:dyDescent="0.2">
      <c r="A722" s="133" t="s">
        <v>866</v>
      </c>
      <c r="B722" s="147">
        <v>43011</v>
      </c>
      <c r="C722" s="147"/>
      <c r="D722" s="96">
        <v>60</v>
      </c>
      <c r="E722" s="103">
        <v>26711.35</v>
      </c>
      <c r="F722" s="103">
        <v>8902.19</v>
      </c>
      <c r="G722" s="22">
        <v>0</v>
      </c>
      <c r="H722" s="87">
        <f t="shared" si="59"/>
        <v>35613.54</v>
      </c>
      <c r="I722" s="87">
        <f t="shared" si="60"/>
        <v>35613.54</v>
      </c>
      <c r="J722" s="119"/>
      <c r="K722" s="83"/>
      <c r="L722" s="155"/>
    </row>
    <row r="723" spans="1:12" s="82" customFormat="1" ht="24" hidden="1" outlineLevel="1" x14ac:dyDescent="0.2">
      <c r="A723" s="133" t="s">
        <v>867</v>
      </c>
      <c r="B723" s="147">
        <v>42983</v>
      </c>
      <c r="C723" s="147">
        <v>43117</v>
      </c>
      <c r="D723" s="96">
        <v>90</v>
      </c>
      <c r="E723" s="103">
        <v>30872.42</v>
      </c>
      <c r="F723" s="103">
        <v>10921.04</v>
      </c>
      <c r="G723" s="22">
        <v>0</v>
      </c>
      <c r="H723" s="87">
        <f t="shared" si="59"/>
        <v>41793.46</v>
      </c>
      <c r="I723" s="87">
        <f t="shared" si="60"/>
        <v>41793.46</v>
      </c>
      <c r="J723" s="119"/>
      <c r="K723" s="83"/>
      <c r="L723" s="158"/>
    </row>
    <row r="724" spans="1:12" s="82" customFormat="1" hidden="1" outlineLevel="1" x14ac:dyDescent="0.2">
      <c r="A724" s="133" t="s">
        <v>868</v>
      </c>
      <c r="B724" s="147">
        <v>43062</v>
      </c>
      <c r="C724" s="147"/>
      <c r="D724" s="96">
        <v>70</v>
      </c>
      <c r="E724" s="22">
        <v>0</v>
      </c>
      <c r="F724" s="22">
        <v>10987.61</v>
      </c>
      <c r="G724" s="22">
        <v>0</v>
      </c>
      <c r="H724" s="87">
        <f t="shared" si="59"/>
        <v>10987.61</v>
      </c>
      <c r="I724" s="87">
        <f t="shared" si="60"/>
        <v>10987.61</v>
      </c>
      <c r="J724" s="119"/>
      <c r="K724" s="83"/>
      <c r="L724" s="158"/>
    </row>
    <row r="725" spans="1:12" s="82" customFormat="1" ht="24" hidden="1" outlineLevel="1" x14ac:dyDescent="0.2">
      <c r="A725" s="133" t="s">
        <v>869</v>
      </c>
      <c r="B725" s="147">
        <v>43082</v>
      </c>
      <c r="C725" s="147"/>
      <c r="D725" s="96">
        <v>65</v>
      </c>
      <c r="E725" s="22">
        <v>0</v>
      </c>
      <c r="F725" s="22">
        <v>11021.18</v>
      </c>
      <c r="G725" s="22">
        <v>0</v>
      </c>
      <c r="H725" s="87">
        <f t="shared" si="59"/>
        <v>11021.18</v>
      </c>
      <c r="I725" s="87">
        <f t="shared" si="60"/>
        <v>11021.18</v>
      </c>
      <c r="J725" s="119"/>
      <c r="K725" s="83"/>
      <c r="L725" s="158"/>
    </row>
    <row r="726" spans="1:12" s="82" customFormat="1" ht="24" hidden="1" outlineLevel="1" x14ac:dyDescent="0.2">
      <c r="A726" s="133" t="s">
        <v>870</v>
      </c>
      <c r="B726" s="147">
        <v>43090</v>
      </c>
      <c r="C726" s="147"/>
      <c r="D726" s="96">
        <v>60</v>
      </c>
      <c r="E726" s="22">
        <v>0</v>
      </c>
      <c r="F726" s="22">
        <v>3305.36</v>
      </c>
      <c r="G726" s="22">
        <v>0</v>
      </c>
      <c r="H726" s="87">
        <f t="shared" si="59"/>
        <v>3305.36</v>
      </c>
      <c r="I726" s="87">
        <f t="shared" si="60"/>
        <v>3305.36</v>
      </c>
      <c r="J726" s="119"/>
      <c r="K726" s="83"/>
      <c r="L726" s="158"/>
    </row>
    <row r="727" spans="1:12" s="82" customFormat="1" ht="24" hidden="1" outlineLevel="1" x14ac:dyDescent="0.2">
      <c r="A727" s="133" t="s">
        <v>871</v>
      </c>
      <c r="B727" s="147">
        <v>43094</v>
      </c>
      <c r="C727" s="147"/>
      <c r="D727" s="96">
        <v>60</v>
      </c>
      <c r="E727" s="22">
        <v>0</v>
      </c>
      <c r="F727" s="22">
        <v>7682.25</v>
      </c>
      <c r="G727" s="22">
        <v>0</v>
      </c>
      <c r="H727" s="87">
        <f t="shared" si="59"/>
        <v>7682.25</v>
      </c>
      <c r="I727" s="87">
        <f t="shared" si="60"/>
        <v>7682.25</v>
      </c>
      <c r="J727" s="119"/>
      <c r="K727" s="83"/>
      <c r="L727" s="158"/>
    </row>
    <row r="728" spans="1:12" s="82" customFormat="1" ht="24" hidden="1" outlineLevel="1" x14ac:dyDescent="0.2">
      <c r="A728" s="133" t="s">
        <v>872</v>
      </c>
      <c r="B728" s="147">
        <v>42754</v>
      </c>
      <c r="C728" s="147">
        <v>43180</v>
      </c>
      <c r="D728" s="96">
        <v>90</v>
      </c>
      <c r="E728" s="22">
        <v>17578.27</v>
      </c>
      <c r="F728" s="103">
        <v>53783.16</v>
      </c>
      <c r="G728" s="22">
        <v>0</v>
      </c>
      <c r="H728" s="87">
        <f t="shared" si="59"/>
        <v>71361.430000000008</v>
      </c>
      <c r="I728" s="87">
        <f t="shared" si="60"/>
        <v>71361.430000000008</v>
      </c>
      <c r="J728" s="119"/>
      <c r="K728" s="83"/>
      <c r="L728" s="155"/>
    </row>
    <row r="729" spans="1:12" s="82" customFormat="1" ht="24" hidden="1" outlineLevel="1" x14ac:dyDescent="0.2">
      <c r="A729" s="133" t="s">
        <v>873</v>
      </c>
      <c r="B729" s="147">
        <v>42962</v>
      </c>
      <c r="C729" s="147">
        <v>43117</v>
      </c>
      <c r="D729" s="96">
        <v>90</v>
      </c>
      <c r="E729" s="103">
        <v>97104.15</v>
      </c>
      <c r="F729" s="103">
        <v>52467.67</v>
      </c>
      <c r="G729" s="22">
        <v>0</v>
      </c>
      <c r="H729" s="87">
        <f t="shared" si="59"/>
        <v>149571.82</v>
      </c>
      <c r="I729" s="87">
        <f t="shared" si="60"/>
        <v>149571.82</v>
      </c>
      <c r="J729" s="119"/>
      <c r="K729" s="83"/>
      <c r="L729" s="155"/>
    </row>
    <row r="730" spans="1:12" s="82" customFormat="1" ht="24" hidden="1" outlineLevel="1" x14ac:dyDescent="0.2">
      <c r="A730" s="133" t="s">
        <v>874</v>
      </c>
      <c r="B730" s="147"/>
      <c r="C730" s="147"/>
      <c r="D730" s="96"/>
      <c r="E730" s="22">
        <v>0</v>
      </c>
      <c r="F730" s="22">
        <v>8387.8700000000008</v>
      </c>
      <c r="G730" s="22">
        <v>0</v>
      </c>
      <c r="H730" s="87">
        <f t="shared" si="59"/>
        <v>8387.8700000000008</v>
      </c>
      <c r="I730" s="87">
        <f t="shared" si="60"/>
        <v>8387.8700000000008</v>
      </c>
      <c r="J730" s="119"/>
      <c r="K730" s="83"/>
      <c r="L730" s="155"/>
    </row>
    <row r="731" spans="1:12" s="82" customFormat="1" ht="24" hidden="1" outlineLevel="1" x14ac:dyDescent="0.2">
      <c r="A731" s="133" t="s">
        <v>875</v>
      </c>
      <c r="B731" s="147">
        <v>43018</v>
      </c>
      <c r="C731" s="147">
        <v>43161</v>
      </c>
      <c r="D731" s="96">
        <v>92</v>
      </c>
      <c r="E731" s="103">
        <v>28862.04</v>
      </c>
      <c r="F731" s="103">
        <v>6461.66</v>
      </c>
      <c r="G731" s="22">
        <v>0</v>
      </c>
      <c r="H731" s="87">
        <f t="shared" si="59"/>
        <v>35323.699999999997</v>
      </c>
      <c r="I731" s="87">
        <f t="shared" si="60"/>
        <v>35323.699999999997</v>
      </c>
      <c r="J731" s="119"/>
      <c r="K731" s="83"/>
      <c r="L731" s="155"/>
    </row>
    <row r="732" spans="1:12" s="82" customFormat="1" ht="24" hidden="1" outlineLevel="1" x14ac:dyDescent="0.2">
      <c r="A732" s="133" t="s">
        <v>876</v>
      </c>
      <c r="B732" s="147">
        <v>42725</v>
      </c>
      <c r="C732" s="147"/>
      <c r="D732" s="96">
        <v>75</v>
      </c>
      <c r="E732" s="103">
        <v>18611.45</v>
      </c>
      <c r="F732" s="103">
        <v>74792.28</v>
      </c>
      <c r="G732" s="22">
        <v>0</v>
      </c>
      <c r="H732" s="87">
        <f t="shared" si="59"/>
        <v>93403.73</v>
      </c>
      <c r="I732" s="87">
        <f t="shared" si="60"/>
        <v>93403.73</v>
      </c>
      <c r="J732" s="119"/>
      <c r="K732" s="83"/>
      <c r="L732" s="155"/>
    </row>
    <row r="733" spans="1:12" s="82" customFormat="1" ht="24" hidden="1" outlineLevel="1" x14ac:dyDescent="0.2">
      <c r="A733" s="133" t="s">
        <v>877</v>
      </c>
      <c r="B733" s="147">
        <v>43007</v>
      </c>
      <c r="C733" s="147"/>
      <c r="D733" s="96">
        <v>80</v>
      </c>
      <c r="E733" s="22">
        <v>0</v>
      </c>
      <c r="F733" s="22">
        <v>24530.32</v>
      </c>
      <c r="G733" s="22">
        <v>0</v>
      </c>
      <c r="H733" s="87">
        <f t="shared" si="59"/>
        <v>24530.32</v>
      </c>
      <c r="I733" s="87">
        <f t="shared" si="60"/>
        <v>24530.32</v>
      </c>
      <c r="J733" s="119"/>
      <c r="K733" s="83"/>
      <c r="L733" s="155"/>
    </row>
    <row r="734" spans="1:12" s="82" customFormat="1" ht="24" hidden="1" outlineLevel="1" x14ac:dyDescent="0.2">
      <c r="A734" s="133" t="s">
        <v>878</v>
      </c>
      <c r="B734" s="147">
        <v>42801</v>
      </c>
      <c r="C734" s="147"/>
      <c r="D734" s="96">
        <v>50</v>
      </c>
      <c r="E734" s="22">
        <v>0</v>
      </c>
      <c r="F734" s="22">
        <v>8330.75</v>
      </c>
      <c r="G734" s="22">
        <v>0</v>
      </c>
      <c r="H734" s="87">
        <f t="shared" si="59"/>
        <v>8330.75</v>
      </c>
      <c r="I734" s="87">
        <f t="shared" si="60"/>
        <v>8330.75</v>
      </c>
      <c r="J734" s="119"/>
      <c r="K734" s="83"/>
      <c r="L734" s="155"/>
    </row>
    <row r="735" spans="1:12" s="82" customFormat="1" ht="24" hidden="1" outlineLevel="1" x14ac:dyDescent="0.2">
      <c r="A735" s="35" t="s">
        <v>1093</v>
      </c>
      <c r="B735" s="147">
        <v>42353</v>
      </c>
      <c r="C735" s="147">
        <v>43465</v>
      </c>
      <c r="D735" s="96">
        <v>40</v>
      </c>
      <c r="E735" s="22">
        <v>60902</v>
      </c>
      <c r="F735" s="22"/>
      <c r="G735" s="22"/>
      <c r="H735" s="87">
        <f t="shared" ref="H735" si="68">F735+E735+G735</f>
        <v>60902</v>
      </c>
      <c r="I735" s="77">
        <f t="shared" si="60"/>
        <v>60902</v>
      </c>
      <c r="J735" s="119"/>
      <c r="K735" s="83"/>
      <c r="L735" s="155"/>
    </row>
    <row r="736" spans="1:12" s="82" customFormat="1" ht="24" hidden="1" outlineLevel="1" x14ac:dyDescent="0.2">
      <c r="A736" s="133" t="s">
        <v>879</v>
      </c>
      <c r="B736" s="147">
        <v>42704</v>
      </c>
      <c r="C736" s="147"/>
      <c r="D736" s="96">
        <v>50</v>
      </c>
      <c r="E736" s="22">
        <v>0</v>
      </c>
      <c r="F736" s="22">
        <v>17615.59</v>
      </c>
      <c r="G736" s="22">
        <v>0</v>
      </c>
      <c r="H736" s="87">
        <f t="shared" si="59"/>
        <v>17615.59</v>
      </c>
      <c r="I736" s="87">
        <f t="shared" si="60"/>
        <v>17615.59</v>
      </c>
      <c r="J736" s="119"/>
      <c r="K736" s="83"/>
      <c r="L736" s="155"/>
    </row>
    <row r="737" spans="1:12" s="82" customFormat="1" ht="24" hidden="1" outlineLevel="1" x14ac:dyDescent="0.2">
      <c r="A737" s="35" t="s">
        <v>1094</v>
      </c>
      <c r="B737" s="148">
        <v>42487</v>
      </c>
      <c r="C737" s="148">
        <v>43190</v>
      </c>
      <c r="D737" s="96">
        <v>98</v>
      </c>
      <c r="E737" s="22">
        <v>103348.97</v>
      </c>
      <c r="F737" s="22"/>
      <c r="G737" s="22"/>
      <c r="H737" s="87">
        <f t="shared" ref="H737" si="69">F737+E737+G737</f>
        <v>103348.97</v>
      </c>
      <c r="I737" s="77">
        <f t="shared" si="60"/>
        <v>103348.97</v>
      </c>
      <c r="J737" s="119"/>
      <c r="K737" s="83"/>
      <c r="L737" s="155"/>
    </row>
    <row r="738" spans="1:12" s="82" customFormat="1" hidden="1" outlineLevel="1" x14ac:dyDescent="0.2">
      <c r="A738" s="133" t="s">
        <v>880</v>
      </c>
      <c r="B738" s="147">
        <v>42873</v>
      </c>
      <c r="C738" s="147"/>
      <c r="D738" s="96">
        <v>50</v>
      </c>
      <c r="E738" s="22">
        <v>0</v>
      </c>
      <c r="F738" s="22">
        <v>9660.36</v>
      </c>
      <c r="G738" s="22">
        <v>0</v>
      </c>
      <c r="H738" s="87">
        <f t="shared" si="59"/>
        <v>9660.36</v>
      </c>
      <c r="I738" s="87">
        <f t="shared" si="60"/>
        <v>9660.36</v>
      </c>
      <c r="J738" s="119"/>
      <c r="K738" s="83"/>
      <c r="L738" s="155"/>
    </row>
    <row r="739" spans="1:12" s="82" customFormat="1" ht="24" hidden="1" outlineLevel="1" x14ac:dyDescent="0.2">
      <c r="A739" s="133" t="s">
        <v>881</v>
      </c>
      <c r="B739" s="147">
        <v>42794</v>
      </c>
      <c r="C739" s="147"/>
      <c r="D739" s="96">
        <v>60</v>
      </c>
      <c r="E739" s="22">
        <v>0</v>
      </c>
      <c r="F739" s="22">
        <v>11370.3</v>
      </c>
      <c r="G739" s="22">
        <v>0</v>
      </c>
      <c r="H739" s="87">
        <f t="shared" si="59"/>
        <v>11370.3</v>
      </c>
      <c r="I739" s="87">
        <f t="shared" si="60"/>
        <v>11370.3</v>
      </c>
      <c r="J739" s="119"/>
      <c r="K739" s="83"/>
      <c r="L739" s="155"/>
    </row>
    <row r="740" spans="1:12" s="82" customFormat="1" ht="24" hidden="1" outlineLevel="1" x14ac:dyDescent="0.2">
      <c r="A740" s="133" t="s">
        <v>882</v>
      </c>
      <c r="B740" s="147">
        <v>42954</v>
      </c>
      <c r="C740" s="147"/>
      <c r="D740" s="96">
        <v>60</v>
      </c>
      <c r="E740" s="103">
        <v>28040</v>
      </c>
      <c r="F740" s="103">
        <v>20198.39</v>
      </c>
      <c r="G740" s="22">
        <v>0</v>
      </c>
      <c r="H740" s="87">
        <f t="shared" si="59"/>
        <v>48238.39</v>
      </c>
      <c r="I740" s="87">
        <f t="shared" si="60"/>
        <v>48238.39</v>
      </c>
      <c r="J740" s="119"/>
      <c r="K740" s="83"/>
      <c r="L740" s="155"/>
    </row>
    <row r="741" spans="1:12" s="82" customFormat="1" ht="24" hidden="1" outlineLevel="1" x14ac:dyDescent="0.2">
      <c r="A741" s="133" t="s">
        <v>883</v>
      </c>
      <c r="B741" s="147">
        <v>42713</v>
      </c>
      <c r="C741" s="147"/>
      <c r="D741" s="96">
        <v>60</v>
      </c>
      <c r="E741" s="22">
        <v>0</v>
      </c>
      <c r="F741" s="22">
        <v>6419.39</v>
      </c>
      <c r="G741" s="22">
        <v>0</v>
      </c>
      <c r="H741" s="87">
        <f t="shared" si="59"/>
        <v>6419.39</v>
      </c>
      <c r="I741" s="87">
        <f t="shared" si="60"/>
        <v>6419.39</v>
      </c>
      <c r="J741" s="119"/>
      <c r="K741" s="83"/>
      <c r="L741" s="155"/>
    </row>
    <row r="742" spans="1:12" s="82" customFormat="1" hidden="1" outlineLevel="1" x14ac:dyDescent="0.2">
      <c r="A742" s="35" t="s">
        <v>1095</v>
      </c>
      <c r="B742" s="147">
        <v>42579</v>
      </c>
      <c r="C742" s="147">
        <v>43465</v>
      </c>
      <c r="D742" s="96">
        <v>40</v>
      </c>
      <c r="E742" s="22"/>
      <c r="F742" s="22">
        <v>427733</v>
      </c>
      <c r="G742" s="22"/>
      <c r="H742" s="87">
        <f t="shared" ref="H742" si="70">F742+E742+G742</f>
        <v>427733</v>
      </c>
      <c r="I742" s="77">
        <f t="shared" si="60"/>
        <v>427733</v>
      </c>
      <c r="J742" s="119"/>
      <c r="K742" s="83"/>
      <c r="L742" s="155"/>
    </row>
    <row r="743" spans="1:12" s="82" customFormat="1" ht="24" hidden="1" outlineLevel="1" x14ac:dyDescent="0.2">
      <c r="A743" s="133" t="s">
        <v>884</v>
      </c>
      <c r="B743" s="147">
        <v>43017</v>
      </c>
      <c r="C743" s="147"/>
      <c r="D743" s="96">
        <v>55</v>
      </c>
      <c r="E743" s="22">
        <v>0</v>
      </c>
      <c r="F743" s="22">
        <v>2252.08</v>
      </c>
      <c r="G743" s="22">
        <v>0</v>
      </c>
      <c r="H743" s="87">
        <f t="shared" si="59"/>
        <v>2252.08</v>
      </c>
      <c r="I743" s="87">
        <f t="shared" si="60"/>
        <v>2252.08</v>
      </c>
      <c r="J743" s="119"/>
      <c r="K743" s="83"/>
      <c r="L743" s="155"/>
    </row>
    <row r="744" spans="1:12" s="82" customFormat="1" ht="24" hidden="1" outlineLevel="1" x14ac:dyDescent="0.2">
      <c r="A744" s="35" t="s">
        <v>1096</v>
      </c>
      <c r="B744" s="148">
        <v>42702</v>
      </c>
      <c r="C744" s="147">
        <v>43190</v>
      </c>
      <c r="D744" s="96">
        <v>98</v>
      </c>
      <c r="E744" s="22">
        <v>137279.43</v>
      </c>
      <c r="F744" s="22"/>
      <c r="G744" s="22"/>
      <c r="H744" s="87">
        <f t="shared" ref="H744" si="71">F744+E744+G744</f>
        <v>137279.43</v>
      </c>
      <c r="I744" s="77">
        <f t="shared" si="60"/>
        <v>137279.43</v>
      </c>
      <c r="J744" s="119"/>
      <c r="K744" s="83"/>
      <c r="L744" s="155"/>
    </row>
    <row r="745" spans="1:12" s="82" customFormat="1" hidden="1" outlineLevel="1" x14ac:dyDescent="0.2">
      <c r="A745" s="133" t="s">
        <v>885</v>
      </c>
      <c r="B745" s="147">
        <v>43088</v>
      </c>
      <c r="C745" s="147"/>
      <c r="D745" s="96">
        <v>70</v>
      </c>
      <c r="E745" s="22">
        <v>0</v>
      </c>
      <c r="F745" s="22">
        <v>11693.23</v>
      </c>
      <c r="G745" s="22">
        <v>0</v>
      </c>
      <c r="H745" s="87">
        <f t="shared" si="59"/>
        <v>11693.23</v>
      </c>
      <c r="I745" s="87">
        <f t="shared" si="60"/>
        <v>11693.23</v>
      </c>
      <c r="J745" s="119"/>
      <c r="K745" s="83"/>
      <c r="L745" s="155"/>
    </row>
    <row r="746" spans="1:12" s="82" customFormat="1" ht="24" hidden="1" outlineLevel="1" x14ac:dyDescent="0.2">
      <c r="A746" s="133" t="s">
        <v>886</v>
      </c>
      <c r="B746" s="147">
        <v>43004</v>
      </c>
      <c r="C746" s="147">
        <v>43189</v>
      </c>
      <c r="D746" s="96">
        <v>90</v>
      </c>
      <c r="E746" s="103">
        <v>23985.61</v>
      </c>
      <c r="F746" s="103">
        <v>10921.04</v>
      </c>
      <c r="G746" s="22">
        <v>0</v>
      </c>
      <c r="H746" s="87">
        <f t="shared" si="59"/>
        <v>34906.65</v>
      </c>
      <c r="I746" s="87">
        <f t="shared" si="60"/>
        <v>34906.65</v>
      </c>
      <c r="J746" s="119"/>
      <c r="K746" s="83"/>
      <c r="L746" s="155"/>
    </row>
    <row r="747" spans="1:12" s="82" customFormat="1" ht="24" hidden="1" outlineLevel="1" x14ac:dyDescent="0.2">
      <c r="A747" s="133" t="s">
        <v>887</v>
      </c>
      <c r="B747" s="147">
        <v>42978</v>
      </c>
      <c r="C747" s="147"/>
      <c r="D747" s="96">
        <v>50</v>
      </c>
      <c r="E747" s="103">
        <v>0</v>
      </c>
      <c r="F747" s="103">
        <v>35082.25</v>
      </c>
      <c r="G747" s="22">
        <v>0</v>
      </c>
      <c r="H747" s="87">
        <f t="shared" si="59"/>
        <v>35082.25</v>
      </c>
      <c r="I747" s="87">
        <f t="shared" si="60"/>
        <v>35082.25</v>
      </c>
      <c r="J747" s="119"/>
      <c r="K747" s="83"/>
      <c r="L747" s="155"/>
    </row>
    <row r="748" spans="1:12" s="82" customFormat="1" ht="24" hidden="1" outlineLevel="1" x14ac:dyDescent="0.2">
      <c r="A748" s="133" t="s">
        <v>888</v>
      </c>
      <c r="B748" s="147">
        <v>43056</v>
      </c>
      <c r="C748" s="147"/>
      <c r="D748" s="96">
        <v>55</v>
      </c>
      <c r="E748" s="103">
        <v>24850.18</v>
      </c>
      <c r="F748" s="103">
        <v>10459.08</v>
      </c>
      <c r="G748" s="22">
        <v>0</v>
      </c>
      <c r="H748" s="87">
        <f t="shared" si="59"/>
        <v>35309.26</v>
      </c>
      <c r="I748" s="87">
        <f t="shared" si="60"/>
        <v>35309.26</v>
      </c>
      <c r="J748" s="119"/>
      <c r="K748" s="83"/>
      <c r="L748" s="155"/>
    </row>
    <row r="749" spans="1:12" s="82" customFormat="1" hidden="1" outlineLevel="1" x14ac:dyDescent="0.2">
      <c r="A749" s="133" t="s">
        <v>889</v>
      </c>
      <c r="B749" s="147">
        <v>43118</v>
      </c>
      <c r="C749" s="147"/>
      <c r="D749" s="96">
        <v>45</v>
      </c>
      <c r="E749" s="22">
        <v>0</v>
      </c>
      <c r="F749" s="22">
        <v>12013.43</v>
      </c>
      <c r="G749" s="22">
        <v>0</v>
      </c>
      <c r="H749" s="87">
        <f t="shared" si="59"/>
        <v>12013.43</v>
      </c>
      <c r="I749" s="87">
        <f t="shared" si="60"/>
        <v>12013.43</v>
      </c>
      <c r="J749" s="119"/>
      <c r="K749" s="83"/>
      <c r="L749" s="155"/>
    </row>
    <row r="750" spans="1:12" s="82" customFormat="1" hidden="1" outlineLevel="1" x14ac:dyDescent="0.2">
      <c r="A750" s="133" t="s">
        <v>890</v>
      </c>
      <c r="B750" s="147">
        <v>43038</v>
      </c>
      <c r="C750" s="147">
        <v>43207</v>
      </c>
      <c r="D750" s="96">
        <v>90</v>
      </c>
      <c r="E750" s="22">
        <v>23911.4</v>
      </c>
      <c r="F750" s="22">
        <v>8792.09</v>
      </c>
      <c r="G750" s="22">
        <v>0</v>
      </c>
      <c r="H750" s="87">
        <f t="shared" si="59"/>
        <v>32703.49</v>
      </c>
      <c r="I750" s="87">
        <f t="shared" si="60"/>
        <v>32703.49</v>
      </c>
      <c r="J750" s="119"/>
      <c r="K750" s="83"/>
      <c r="L750" s="155"/>
    </row>
    <row r="751" spans="1:12" s="82" customFormat="1" ht="24" hidden="1" outlineLevel="1" x14ac:dyDescent="0.2">
      <c r="A751" s="133" t="s">
        <v>891</v>
      </c>
      <c r="B751" s="147">
        <v>42963</v>
      </c>
      <c r="C751" s="147"/>
      <c r="D751" s="96">
        <v>50</v>
      </c>
      <c r="E751" s="103">
        <v>16579.2</v>
      </c>
      <c r="F751" s="103">
        <v>8095.6</v>
      </c>
      <c r="G751" s="22">
        <v>0</v>
      </c>
      <c r="H751" s="87">
        <f t="shared" si="59"/>
        <v>24674.800000000003</v>
      </c>
      <c r="I751" s="87">
        <f t="shared" si="60"/>
        <v>24674.800000000003</v>
      </c>
      <c r="J751" s="119"/>
      <c r="K751" s="83"/>
      <c r="L751" s="155"/>
    </row>
    <row r="752" spans="1:12" s="82" customFormat="1" hidden="1" outlineLevel="1" x14ac:dyDescent="0.2">
      <c r="A752" s="133" t="s">
        <v>892</v>
      </c>
      <c r="B752" s="147">
        <v>43010</v>
      </c>
      <c r="C752" s="147"/>
      <c r="D752" s="96">
        <v>50</v>
      </c>
      <c r="E752" s="22">
        <v>0</v>
      </c>
      <c r="F752" s="22">
        <v>7867.04</v>
      </c>
      <c r="G752" s="22">
        <v>0</v>
      </c>
      <c r="H752" s="87">
        <f t="shared" si="59"/>
        <v>7867.04</v>
      </c>
      <c r="I752" s="87">
        <f t="shared" si="60"/>
        <v>7867.04</v>
      </c>
      <c r="J752" s="119"/>
      <c r="K752" s="83"/>
      <c r="L752" s="155"/>
    </row>
    <row r="753" spans="1:12" s="82" customFormat="1" ht="24" hidden="1" outlineLevel="1" x14ac:dyDescent="0.2">
      <c r="A753" s="133" t="s">
        <v>893</v>
      </c>
      <c r="B753" s="147"/>
      <c r="C753" s="147"/>
      <c r="D753" s="96"/>
      <c r="E753" s="22">
        <v>0</v>
      </c>
      <c r="F753" s="22">
        <v>9319.17</v>
      </c>
      <c r="G753" s="22">
        <v>0</v>
      </c>
      <c r="H753" s="87">
        <f t="shared" si="59"/>
        <v>9319.17</v>
      </c>
      <c r="I753" s="87">
        <f t="shared" si="60"/>
        <v>9319.17</v>
      </c>
      <c r="J753" s="119"/>
      <c r="K753" s="83"/>
      <c r="L753" s="155"/>
    </row>
    <row r="754" spans="1:12" s="82" customFormat="1" hidden="1" outlineLevel="1" x14ac:dyDescent="0.2">
      <c r="A754" s="133" t="s">
        <v>894</v>
      </c>
      <c r="B754" s="147">
        <v>43076</v>
      </c>
      <c r="C754" s="147"/>
      <c r="D754" s="96">
        <v>50</v>
      </c>
      <c r="E754" s="22">
        <v>0</v>
      </c>
      <c r="F754" s="22">
        <v>6728.07</v>
      </c>
      <c r="G754" s="22">
        <v>0</v>
      </c>
      <c r="H754" s="87">
        <f t="shared" si="59"/>
        <v>6728.07</v>
      </c>
      <c r="I754" s="87">
        <f t="shared" si="60"/>
        <v>6728.07</v>
      </c>
      <c r="J754" s="119"/>
      <c r="K754" s="83"/>
      <c r="L754" s="155"/>
    </row>
    <row r="755" spans="1:12" s="82" customFormat="1" ht="24" hidden="1" outlineLevel="1" x14ac:dyDescent="0.2">
      <c r="A755" s="133" t="s">
        <v>895</v>
      </c>
      <c r="B755" s="147">
        <v>42985</v>
      </c>
      <c r="C755" s="147"/>
      <c r="D755" s="96">
        <v>60</v>
      </c>
      <c r="E755" s="103">
        <v>7624.37</v>
      </c>
      <c r="F755" s="103">
        <v>6485.52</v>
      </c>
      <c r="G755" s="22">
        <v>0</v>
      </c>
      <c r="H755" s="87">
        <f t="shared" si="59"/>
        <v>14109.89</v>
      </c>
      <c r="I755" s="87">
        <f t="shared" si="60"/>
        <v>14109.89</v>
      </c>
      <c r="J755" s="119"/>
      <c r="K755" s="83"/>
      <c r="L755" s="155"/>
    </row>
    <row r="756" spans="1:12" s="82" customFormat="1" ht="24" hidden="1" outlineLevel="1" x14ac:dyDescent="0.2">
      <c r="A756" s="133" t="s">
        <v>896</v>
      </c>
      <c r="B756" s="147">
        <v>42985</v>
      </c>
      <c r="C756" s="147"/>
      <c r="D756" s="96">
        <v>60</v>
      </c>
      <c r="E756" s="22">
        <v>5764.64</v>
      </c>
      <c r="F756" s="22">
        <v>6485.52</v>
      </c>
      <c r="G756" s="22">
        <v>0</v>
      </c>
      <c r="H756" s="87">
        <f t="shared" si="59"/>
        <v>12250.16</v>
      </c>
      <c r="I756" s="87">
        <f t="shared" si="60"/>
        <v>12250.16</v>
      </c>
      <c r="J756" s="119"/>
      <c r="K756" s="83"/>
      <c r="L756" s="155"/>
    </row>
    <row r="757" spans="1:12" s="82" customFormat="1" ht="24" hidden="1" outlineLevel="1" x14ac:dyDescent="0.2">
      <c r="A757" s="133" t="s">
        <v>897</v>
      </c>
      <c r="B757" s="147">
        <v>43139</v>
      </c>
      <c r="C757" s="147"/>
      <c r="D757" s="96">
        <v>40</v>
      </c>
      <c r="E757" s="22">
        <v>0</v>
      </c>
      <c r="F757" s="22">
        <v>10987.61</v>
      </c>
      <c r="G757" s="22">
        <v>0</v>
      </c>
      <c r="H757" s="87">
        <f t="shared" si="59"/>
        <v>10987.61</v>
      </c>
      <c r="I757" s="87">
        <f t="shared" si="60"/>
        <v>10987.61</v>
      </c>
      <c r="J757" s="119"/>
      <c r="K757" s="83"/>
      <c r="L757" s="155"/>
    </row>
    <row r="758" spans="1:12" s="82" customFormat="1" hidden="1" outlineLevel="1" x14ac:dyDescent="0.2">
      <c r="A758" s="133" t="s">
        <v>898</v>
      </c>
      <c r="B758" s="147">
        <v>42993</v>
      </c>
      <c r="C758" s="147">
        <v>43133</v>
      </c>
      <c r="D758" s="96">
        <v>90</v>
      </c>
      <c r="E758" s="22">
        <v>24834.9</v>
      </c>
      <c r="F758" s="22">
        <v>6680.76</v>
      </c>
      <c r="G758" s="22">
        <v>0</v>
      </c>
      <c r="H758" s="87">
        <f t="shared" si="59"/>
        <v>31515.660000000003</v>
      </c>
      <c r="I758" s="87">
        <f t="shared" si="60"/>
        <v>31515.660000000003</v>
      </c>
      <c r="J758" s="119"/>
      <c r="K758" s="83"/>
      <c r="L758" s="155"/>
    </row>
    <row r="759" spans="1:12" s="82" customFormat="1" hidden="1" outlineLevel="1" x14ac:dyDescent="0.2">
      <c r="A759" s="133" t="s">
        <v>899</v>
      </c>
      <c r="B759" s="147">
        <v>43094</v>
      </c>
      <c r="C759" s="147"/>
      <c r="D759" s="96">
        <v>60</v>
      </c>
      <c r="E759" s="22">
        <v>0</v>
      </c>
      <c r="F759" s="22">
        <v>7682.25</v>
      </c>
      <c r="G759" s="22">
        <v>0</v>
      </c>
      <c r="H759" s="87">
        <f t="shared" si="59"/>
        <v>7682.25</v>
      </c>
      <c r="I759" s="87">
        <f t="shared" si="60"/>
        <v>7682.25</v>
      </c>
      <c r="J759" s="119"/>
      <c r="K759" s="83"/>
      <c r="L759" s="155"/>
    </row>
    <row r="760" spans="1:12" s="82" customFormat="1" hidden="1" outlineLevel="1" x14ac:dyDescent="0.2">
      <c r="A760" s="133" t="s">
        <v>900</v>
      </c>
      <c r="B760" s="147">
        <v>42984</v>
      </c>
      <c r="C760" s="147"/>
      <c r="D760" s="96">
        <v>55</v>
      </c>
      <c r="E760" s="22">
        <v>0</v>
      </c>
      <c r="F760" s="22">
        <v>9306.2800000000007</v>
      </c>
      <c r="G760" s="22">
        <v>0</v>
      </c>
      <c r="H760" s="87">
        <f t="shared" ref="H760:H832" si="72">E760+F760+G760</f>
        <v>9306.2800000000007</v>
      </c>
      <c r="I760" s="87">
        <f t="shared" ref="I760:I832" si="73">H760</f>
        <v>9306.2800000000007</v>
      </c>
      <c r="J760" s="119"/>
      <c r="K760" s="83"/>
      <c r="L760" s="155"/>
    </row>
    <row r="761" spans="1:12" s="82" customFormat="1" ht="24" hidden="1" outlineLevel="1" x14ac:dyDescent="0.2">
      <c r="A761" s="133" t="s">
        <v>901</v>
      </c>
      <c r="B761" s="147">
        <v>42984</v>
      </c>
      <c r="C761" s="147"/>
      <c r="D761" s="96">
        <v>50</v>
      </c>
      <c r="E761" s="22">
        <v>34734.33</v>
      </c>
      <c r="F761" s="22">
        <v>6711.41</v>
      </c>
      <c r="G761" s="22">
        <v>0</v>
      </c>
      <c r="H761" s="87">
        <f t="shared" si="72"/>
        <v>41445.740000000005</v>
      </c>
      <c r="I761" s="87">
        <f t="shared" si="73"/>
        <v>41445.740000000005</v>
      </c>
      <c r="J761" s="119"/>
      <c r="K761" s="83"/>
      <c r="L761" s="155"/>
    </row>
    <row r="762" spans="1:12" s="82" customFormat="1" ht="24" hidden="1" outlineLevel="1" x14ac:dyDescent="0.2">
      <c r="A762" s="133" t="s">
        <v>902</v>
      </c>
      <c r="B762" s="147">
        <v>42984</v>
      </c>
      <c r="C762" s="147"/>
      <c r="D762" s="96">
        <v>50</v>
      </c>
      <c r="E762" s="22">
        <v>33854</v>
      </c>
      <c r="F762" s="22">
        <v>9134.8799999999992</v>
      </c>
      <c r="G762" s="22">
        <v>0</v>
      </c>
      <c r="H762" s="87">
        <f t="shared" si="72"/>
        <v>42988.88</v>
      </c>
      <c r="I762" s="87">
        <f t="shared" si="73"/>
        <v>42988.88</v>
      </c>
      <c r="J762" s="119"/>
      <c r="K762" s="83"/>
      <c r="L762" s="155"/>
    </row>
    <row r="763" spans="1:12" s="82" customFormat="1" ht="24" hidden="1" outlineLevel="1" x14ac:dyDescent="0.2">
      <c r="A763" s="133" t="s">
        <v>903</v>
      </c>
      <c r="B763" s="147">
        <v>43021</v>
      </c>
      <c r="C763" s="147"/>
      <c r="D763" s="96">
        <v>60</v>
      </c>
      <c r="E763" s="22">
        <v>27840.2</v>
      </c>
      <c r="F763" s="22">
        <v>8713.74</v>
      </c>
      <c r="G763" s="22">
        <v>0</v>
      </c>
      <c r="H763" s="87">
        <f t="shared" si="72"/>
        <v>36553.94</v>
      </c>
      <c r="I763" s="87">
        <f t="shared" si="73"/>
        <v>36553.94</v>
      </c>
      <c r="J763" s="119"/>
      <c r="K763" s="83"/>
      <c r="L763" s="155"/>
    </row>
    <row r="764" spans="1:12" s="82" customFormat="1" hidden="1" outlineLevel="1" x14ac:dyDescent="0.2">
      <c r="A764" s="133" t="s">
        <v>904</v>
      </c>
      <c r="B764" s="147">
        <v>43150</v>
      </c>
      <c r="C764" s="147"/>
      <c r="D764" s="96">
        <v>45</v>
      </c>
      <c r="E764" s="22">
        <v>0</v>
      </c>
      <c r="F764" s="22">
        <v>11114.41</v>
      </c>
      <c r="G764" s="22">
        <v>0</v>
      </c>
      <c r="H764" s="87">
        <f t="shared" si="72"/>
        <v>11114.41</v>
      </c>
      <c r="I764" s="87">
        <f t="shared" si="73"/>
        <v>11114.41</v>
      </c>
      <c r="J764" s="119"/>
      <c r="K764" s="83"/>
      <c r="L764" s="155"/>
    </row>
    <row r="765" spans="1:12" s="82" customFormat="1" hidden="1" outlineLevel="1" x14ac:dyDescent="0.2">
      <c r="A765" s="133" t="s">
        <v>905</v>
      </c>
      <c r="B765" s="147">
        <v>43060</v>
      </c>
      <c r="C765" s="147"/>
      <c r="D765" s="96">
        <v>45</v>
      </c>
      <c r="E765" s="22">
        <v>0</v>
      </c>
      <c r="F765" s="22">
        <v>10726.22</v>
      </c>
      <c r="G765" s="22">
        <v>0</v>
      </c>
      <c r="H765" s="87">
        <f t="shared" si="72"/>
        <v>10726.22</v>
      </c>
      <c r="I765" s="87">
        <f t="shared" si="73"/>
        <v>10726.22</v>
      </c>
      <c r="J765" s="119"/>
      <c r="K765" s="83"/>
      <c r="L765" s="155"/>
    </row>
    <row r="766" spans="1:12" s="82" customFormat="1" ht="24" hidden="1" outlineLevel="1" x14ac:dyDescent="0.2">
      <c r="A766" s="133" t="s">
        <v>906</v>
      </c>
      <c r="B766" s="147">
        <v>43096</v>
      </c>
      <c r="C766" s="147"/>
      <c r="D766" s="96">
        <v>50</v>
      </c>
      <c r="E766" s="22">
        <v>0</v>
      </c>
      <c r="F766" s="22">
        <v>8402.6200000000008</v>
      </c>
      <c r="G766" s="22">
        <v>0</v>
      </c>
      <c r="H766" s="87">
        <f t="shared" si="72"/>
        <v>8402.6200000000008</v>
      </c>
      <c r="I766" s="87">
        <f t="shared" si="73"/>
        <v>8402.6200000000008</v>
      </c>
      <c r="J766" s="119"/>
      <c r="K766" s="83"/>
      <c r="L766" s="155"/>
    </row>
    <row r="767" spans="1:12" s="82" customFormat="1" ht="24" hidden="1" outlineLevel="1" x14ac:dyDescent="0.2">
      <c r="A767" s="35" t="s">
        <v>1097</v>
      </c>
      <c r="B767" s="148">
        <v>43054</v>
      </c>
      <c r="C767" s="147">
        <v>43190</v>
      </c>
      <c r="D767" s="96">
        <v>95</v>
      </c>
      <c r="E767" s="22">
        <v>9964.69</v>
      </c>
      <c r="F767" s="22">
        <v>32812.03</v>
      </c>
      <c r="G767" s="22"/>
      <c r="H767" s="87">
        <f t="shared" ref="H767:H768" si="74">F767+E767+G767</f>
        <v>42776.72</v>
      </c>
      <c r="I767" s="77">
        <f t="shared" si="73"/>
        <v>42776.72</v>
      </c>
      <c r="J767" s="119"/>
      <c r="K767" s="83"/>
      <c r="L767" s="155"/>
    </row>
    <row r="768" spans="1:12" s="82" customFormat="1" ht="24" hidden="1" outlineLevel="1" x14ac:dyDescent="0.2">
      <c r="A768" s="35" t="s">
        <v>1098</v>
      </c>
      <c r="B768" s="148">
        <v>43055</v>
      </c>
      <c r="C768" s="147">
        <v>43190</v>
      </c>
      <c r="D768" s="96">
        <v>95</v>
      </c>
      <c r="E768" s="22">
        <v>9964.69</v>
      </c>
      <c r="F768" s="22">
        <v>30780.080000000002</v>
      </c>
      <c r="G768" s="22"/>
      <c r="H768" s="87">
        <f t="shared" si="74"/>
        <v>40744.770000000004</v>
      </c>
      <c r="I768" s="77">
        <f t="shared" si="73"/>
        <v>40744.770000000004</v>
      </c>
      <c r="J768" s="119"/>
      <c r="K768" s="83"/>
      <c r="L768" s="155"/>
    </row>
    <row r="769" spans="1:12" s="82" customFormat="1" hidden="1" outlineLevel="1" x14ac:dyDescent="0.2">
      <c r="A769" s="133" t="s">
        <v>907</v>
      </c>
      <c r="B769" s="147">
        <v>43080</v>
      </c>
      <c r="C769" s="147">
        <v>43173</v>
      </c>
      <c r="D769" s="96">
        <v>90</v>
      </c>
      <c r="E769" s="22">
        <v>22221.15</v>
      </c>
      <c r="F769" s="22">
        <v>10188.16</v>
      </c>
      <c r="G769" s="22">
        <v>0</v>
      </c>
      <c r="H769" s="87">
        <f t="shared" si="72"/>
        <v>32409.31</v>
      </c>
      <c r="I769" s="87">
        <f t="shared" si="73"/>
        <v>32409.31</v>
      </c>
      <c r="J769" s="119"/>
      <c r="K769" s="83"/>
      <c r="L769" s="155"/>
    </row>
    <row r="770" spans="1:12" s="82" customFormat="1" ht="24" hidden="1" outlineLevel="1" x14ac:dyDescent="0.2">
      <c r="A770" s="133" t="s">
        <v>908</v>
      </c>
      <c r="B770" s="147">
        <v>42984</v>
      </c>
      <c r="C770" s="147">
        <v>43138</v>
      </c>
      <c r="D770" s="96">
        <v>85</v>
      </c>
      <c r="E770" s="22">
        <v>0</v>
      </c>
      <c r="F770" s="22">
        <v>7315.38</v>
      </c>
      <c r="G770" s="22">
        <v>0</v>
      </c>
      <c r="H770" s="87">
        <f t="shared" si="72"/>
        <v>7315.38</v>
      </c>
      <c r="I770" s="87">
        <f t="shared" si="73"/>
        <v>7315.38</v>
      </c>
      <c r="J770" s="119"/>
      <c r="K770" s="83"/>
      <c r="L770" s="155"/>
    </row>
    <row r="771" spans="1:12" s="82" customFormat="1" ht="24" hidden="1" outlineLevel="1" x14ac:dyDescent="0.2">
      <c r="A771" s="133" t="s">
        <v>909</v>
      </c>
      <c r="B771" s="147">
        <v>42984</v>
      </c>
      <c r="C771" s="147">
        <v>43136</v>
      </c>
      <c r="D771" s="96">
        <v>85</v>
      </c>
      <c r="E771" s="22">
        <v>0</v>
      </c>
      <c r="F771" s="22">
        <v>7315.38</v>
      </c>
      <c r="G771" s="22">
        <v>0</v>
      </c>
      <c r="H771" s="87">
        <f t="shared" si="72"/>
        <v>7315.38</v>
      </c>
      <c r="I771" s="87">
        <f t="shared" si="73"/>
        <v>7315.38</v>
      </c>
      <c r="J771" s="119"/>
      <c r="K771" s="83"/>
      <c r="L771" s="155"/>
    </row>
    <row r="772" spans="1:12" s="82" customFormat="1" hidden="1" outlineLevel="1" x14ac:dyDescent="0.2">
      <c r="A772" s="133" t="s">
        <v>910</v>
      </c>
      <c r="B772" s="147">
        <v>43063</v>
      </c>
      <c r="C772" s="147"/>
      <c r="D772" s="96">
        <v>50</v>
      </c>
      <c r="E772" s="22">
        <v>0</v>
      </c>
      <c r="F772" s="22">
        <v>11693.23</v>
      </c>
      <c r="G772" s="22">
        <v>0</v>
      </c>
      <c r="H772" s="87">
        <f t="shared" si="72"/>
        <v>11693.23</v>
      </c>
      <c r="I772" s="87">
        <f t="shared" si="73"/>
        <v>11693.23</v>
      </c>
      <c r="J772" s="119"/>
      <c r="K772" s="83"/>
      <c r="L772" s="155"/>
    </row>
    <row r="773" spans="1:12" s="82" customFormat="1" ht="24" hidden="1" outlineLevel="1" x14ac:dyDescent="0.2">
      <c r="A773" s="133" t="s">
        <v>911</v>
      </c>
      <c r="B773" s="147">
        <v>43067</v>
      </c>
      <c r="C773" s="147"/>
      <c r="D773" s="96">
        <v>60</v>
      </c>
      <c r="E773" s="22">
        <v>34623.599999999999</v>
      </c>
      <c r="F773" s="22">
        <v>10188.16</v>
      </c>
      <c r="G773" s="22">
        <v>0</v>
      </c>
      <c r="H773" s="87">
        <f t="shared" si="72"/>
        <v>44811.759999999995</v>
      </c>
      <c r="I773" s="87">
        <f t="shared" si="73"/>
        <v>44811.759999999995</v>
      </c>
      <c r="J773" s="119"/>
      <c r="K773" s="83"/>
      <c r="L773" s="155"/>
    </row>
    <row r="774" spans="1:12" s="82" customFormat="1" ht="24" hidden="1" outlineLevel="1" x14ac:dyDescent="0.2">
      <c r="A774" s="133" t="s">
        <v>912</v>
      </c>
      <c r="B774" s="147">
        <v>43067</v>
      </c>
      <c r="C774" s="147"/>
      <c r="D774" s="96">
        <v>90</v>
      </c>
      <c r="E774" s="22">
        <v>62982.65</v>
      </c>
      <c r="F774" s="22">
        <v>10016.77</v>
      </c>
      <c r="G774" s="22">
        <v>0</v>
      </c>
      <c r="H774" s="87">
        <f t="shared" si="72"/>
        <v>72999.42</v>
      </c>
      <c r="I774" s="87">
        <f t="shared" si="73"/>
        <v>72999.42</v>
      </c>
      <c r="J774" s="119"/>
      <c r="K774" s="83"/>
      <c r="L774" s="155"/>
    </row>
    <row r="775" spans="1:12" s="82" customFormat="1" ht="24" hidden="1" outlineLevel="1" x14ac:dyDescent="0.2">
      <c r="A775" s="133" t="s">
        <v>913</v>
      </c>
      <c r="B775" s="147"/>
      <c r="C775" s="147"/>
      <c r="D775" s="96"/>
      <c r="E775" s="22">
        <v>56414.86</v>
      </c>
      <c r="F775" s="22">
        <v>10016.77</v>
      </c>
      <c r="G775" s="22">
        <v>0</v>
      </c>
      <c r="H775" s="87">
        <f t="shared" si="72"/>
        <v>66431.63</v>
      </c>
      <c r="I775" s="87">
        <f t="shared" si="73"/>
        <v>66431.63</v>
      </c>
      <c r="J775" s="119"/>
      <c r="K775" s="83"/>
      <c r="L775" s="155"/>
    </row>
    <row r="776" spans="1:12" s="82" customFormat="1" ht="24" hidden="1" outlineLevel="1" x14ac:dyDescent="0.2">
      <c r="A776" s="133" t="s">
        <v>914</v>
      </c>
      <c r="B776" s="147"/>
      <c r="C776" s="147"/>
      <c r="D776" s="96"/>
      <c r="E776" s="22">
        <v>34547.96</v>
      </c>
      <c r="F776" s="22">
        <v>10016.77</v>
      </c>
      <c r="G776" s="22">
        <v>0</v>
      </c>
      <c r="H776" s="87">
        <f t="shared" si="72"/>
        <v>44564.729999999996</v>
      </c>
      <c r="I776" s="87">
        <f t="shared" si="73"/>
        <v>44564.729999999996</v>
      </c>
      <c r="J776" s="119"/>
      <c r="K776" s="83"/>
      <c r="L776" s="155"/>
    </row>
    <row r="777" spans="1:12" s="82" customFormat="1" ht="24" hidden="1" outlineLevel="1" x14ac:dyDescent="0.2">
      <c r="A777" s="133" t="s">
        <v>915</v>
      </c>
      <c r="B777" s="147"/>
      <c r="C777" s="147"/>
      <c r="D777" s="96"/>
      <c r="E777" s="22">
        <v>34547.949999999997</v>
      </c>
      <c r="F777" s="22">
        <v>10016.77</v>
      </c>
      <c r="G777" s="22">
        <v>0</v>
      </c>
      <c r="H777" s="87">
        <f t="shared" si="72"/>
        <v>44564.72</v>
      </c>
      <c r="I777" s="87">
        <f t="shared" si="73"/>
        <v>44564.72</v>
      </c>
      <c r="J777" s="119"/>
      <c r="K777" s="83"/>
      <c r="L777" s="155"/>
    </row>
    <row r="778" spans="1:12" s="82" customFormat="1" hidden="1" outlineLevel="1" x14ac:dyDescent="0.2">
      <c r="A778" s="133" t="s">
        <v>916</v>
      </c>
      <c r="B778" s="147"/>
      <c r="C778" s="147"/>
      <c r="D778" s="96"/>
      <c r="E778" s="22">
        <v>26669.040000000001</v>
      </c>
      <c r="F778" s="22">
        <v>10692.02</v>
      </c>
      <c r="G778" s="22">
        <v>0</v>
      </c>
      <c r="H778" s="87">
        <f t="shared" si="72"/>
        <v>37361.06</v>
      </c>
      <c r="I778" s="87">
        <f t="shared" si="73"/>
        <v>37361.06</v>
      </c>
      <c r="J778" s="119"/>
      <c r="K778" s="83"/>
      <c r="L778" s="155"/>
    </row>
    <row r="779" spans="1:12" s="82" customFormat="1" hidden="1" outlineLevel="1" x14ac:dyDescent="0.2">
      <c r="A779" s="133" t="s">
        <v>917</v>
      </c>
      <c r="B779" s="147">
        <v>43066</v>
      </c>
      <c r="C779" s="147"/>
      <c r="D779" s="96">
        <v>60</v>
      </c>
      <c r="E779" s="22">
        <v>0</v>
      </c>
      <c r="F779" s="22">
        <v>3305.36</v>
      </c>
      <c r="G779" s="22">
        <v>0</v>
      </c>
      <c r="H779" s="87">
        <f t="shared" si="72"/>
        <v>3305.36</v>
      </c>
      <c r="I779" s="87">
        <f t="shared" si="73"/>
        <v>3305.36</v>
      </c>
      <c r="J779" s="119"/>
      <c r="K779" s="83"/>
      <c r="L779" s="155"/>
    </row>
    <row r="780" spans="1:12" s="82" customFormat="1" hidden="1" outlineLevel="1" x14ac:dyDescent="0.2">
      <c r="A780" s="133" t="s">
        <v>918</v>
      </c>
      <c r="B780" s="147">
        <v>43005</v>
      </c>
      <c r="C780" s="147"/>
      <c r="D780" s="96">
        <v>60</v>
      </c>
      <c r="E780" s="22">
        <v>0</v>
      </c>
      <c r="F780" s="22">
        <v>14107.37</v>
      </c>
      <c r="G780" s="22">
        <v>0</v>
      </c>
      <c r="H780" s="87">
        <f t="shared" si="72"/>
        <v>14107.37</v>
      </c>
      <c r="I780" s="87">
        <f t="shared" si="73"/>
        <v>14107.37</v>
      </c>
      <c r="J780" s="119"/>
      <c r="K780" s="83"/>
      <c r="L780" s="155"/>
    </row>
    <row r="781" spans="1:12" s="82" customFormat="1" ht="24" hidden="1" outlineLevel="1" x14ac:dyDescent="0.2">
      <c r="A781" s="35" t="s">
        <v>1099</v>
      </c>
      <c r="B781" s="148">
        <v>42766</v>
      </c>
      <c r="C781" s="147">
        <v>43190</v>
      </c>
      <c r="D781" s="96">
        <v>98</v>
      </c>
      <c r="E781" s="22">
        <v>75744</v>
      </c>
      <c r="F781" s="22">
        <v>154546.71</v>
      </c>
      <c r="G781" s="22"/>
      <c r="H781" s="87">
        <f t="shared" ref="H781" si="75">F781+E781+G781</f>
        <v>230290.71</v>
      </c>
      <c r="I781" s="77">
        <f t="shared" si="73"/>
        <v>230290.71</v>
      </c>
      <c r="J781" s="119"/>
      <c r="K781" s="83"/>
      <c r="L781" s="155"/>
    </row>
    <row r="782" spans="1:12" s="82" customFormat="1" ht="24" hidden="1" outlineLevel="1" x14ac:dyDescent="0.2">
      <c r="A782" s="133" t="s">
        <v>919</v>
      </c>
      <c r="B782" s="147">
        <v>43020</v>
      </c>
      <c r="C782" s="147"/>
      <c r="D782" s="96">
        <v>55</v>
      </c>
      <c r="E782" s="22">
        <v>42560.98</v>
      </c>
      <c r="F782" s="22">
        <v>8713.74</v>
      </c>
      <c r="G782" s="22">
        <v>0</v>
      </c>
      <c r="H782" s="87">
        <f t="shared" si="72"/>
        <v>51274.720000000001</v>
      </c>
      <c r="I782" s="87">
        <f t="shared" si="73"/>
        <v>51274.720000000001</v>
      </c>
      <c r="J782" s="119"/>
      <c r="K782" s="83"/>
      <c r="L782" s="155"/>
    </row>
    <row r="783" spans="1:12" s="82" customFormat="1" hidden="1" outlineLevel="1" x14ac:dyDescent="0.2">
      <c r="A783" s="133" t="s">
        <v>920</v>
      </c>
      <c r="B783" s="147">
        <v>42975</v>
      </c>
      <c r="C783" s="147"/>
      <c r="D783" s="96">
        <v>50</v>
      </c>
      <c r="E783" s="22">
        <v>31832.01</v>
      </c>
      <c r="F783" s="22">
        <v>8713.74</v>
      </c>
      <c r="G783" s="22">
        <v>0</v>
      </c>
      <c r="H783" s="87">
        <f t="shared" si="72"/>
        <v>40545.75</v>
      </c>
      <c r="I783" s="87">
        <f t="shared" si="73"/>
        <v>40545.75</v>
      </c>
      <c r="J783" s="119"/>
      <c r="K783" s="83"/>
      <c r="L783" s="155"/>
    </row>
    <row r="784" spans="1:12" s="82" customFormat="1" ht="24" hidden="1" outlineLevel="1" x14ac:dyDescent="0.2">
      <c r="A784" s="133" t="s">
        <v>921</v>
      </c>
      <c r="B784" s="147">
        <v>43130</v>
      </c>
      <c r="C784" s="147"/>
      <c r="D784" s="96">
        <v>40</v>
      </c>
      <c r="E784" s="22">
        <v>0</v>
      </c>
      <c r="F784" s="22">
        <v>3305.36</v>
      </c>
      <c r="G784" s="22">
        <v>0</v>
      </c>
      <c r="H784" s="87">
        <f t="shared" si="72"/>
        <v>3305.36</v>
      </c>
      <c r="I784" s="87">
        <f t="shared" si="73"/>
        <v>3305.36</v>
      </c>
      <c r="J784" s="119"/>
      <c r="K784" s="83"/>
      <c r="L784" s="155"/>
    </row>
    <row r="785" spans="1:12" s="82" customFormat="1" ht="24" hidden="1" outlineLevel="1" x14ac:dyDescent="0.2">
      <c r="A785" s="35" t="s">
        <v>1100</v>
      </c>
      <c r="B785" s="148">
        <v>42979</v>
      </c>
      <c r="C785" s="147">
        <v>43190</v>
      </c>
      <c r="D785" s="96">
        <v>98</v>
      </c>
      <c r="E785" s="22">
        <v>50827.29</v>
      </c>
      <c r="F785" s="136">
        <f>52346.42+22592.71</f>
        <v>74939.13</v>
      </c>
      <c r="G785" s="137">
        <f>3120.37+6.24+936.11</f>
        <v>4062.72</v>
      </c>
      <c r="H785" s="87">
        <f t="shared" ref="H785" si="76">F785+E785+G785</f>
        <v>129829.14000000001</v>
      </c>
      <c r="I785" s="77">
        <f t="shared" si="73"/>
        <v>129829.14000000001</v>
      </c>
      <c r="J785" s="119"/>
      <c r="K785" s="83"/>
      <c r="L785" s="155"/>
    </row>
    <row r="786" spans="1:12" s="82" customFormat="1" ht="24" hidden="1" outlineLevel="1" x14ac:dyDescent="0.2">
      <c r="A786" s="133" t="s">
        <v>922</v>
      </c>
      <c r="B786" s="147">
        <v>42993</v>
      </c>
      <c r="C786" s="147">
        <v>43088</v>
      </c>
      <c r="D786" s="96">
        <v>90</v>
      </c>
      <c r="E786" s="22">
        <v>228600</v>
      </c>
      <c r="F786" s="22">
        <v>160603</v>
      </c>
      <c r="G786" s="22">
        <v>0</v>
      </c>
      <c r="H786" s="87">
        <f t="shared" si="72"/>
        <v>389203</v>
      </c>
      <c r="I786" s="87">
        <f t="shared" si="73"/>
        <v>389203</v>
      </c>
      <c r="J786" s="119"/>
      <c r="K786" s="83"/>
      <c r="L786" s="155"/>
    </row>
    <row r="787" spans="1:12" s="82" customFormat="1" ht="24" hidden="1" outlineLevel="1" x14ac:dyDescent="0.2">
      <c r="A787" s="35" t="s">
        <v>923</v>
      </c>
      <c r="B787" s="148">
        <v>42850</v>
      </c>
      <c r="C787" s="147">
        <v>43190</v>
      </c>
      <c r="D787" s="96">
        <v>98</v>
      </c>
      <c r="E787" s="22">
        <v>16094.32</v>
      </c>
      <c r="F787" s="22"/>
      <c r="G787" s="22"/>
      <c r="H787" s="87">
        <f t="shared" ref="H787" si="77">F787+E787+G787</f>
        <v>16094.32</v>
      </c>
      <c r="I787" s="77">
        <f t="shared" si="73"/>
        <v>16094.32</v>
      </c>
      <c r="J787" s="119"/>
      <c r="K787" s="83"/>
      <c r="L787" s="155"/>
    </row>
    <row r="788" spans="1:12" s="82" customFormat="1" hidden="1" outlineLevel="1" x14ac:dyDescent="0.2">
      <c r="A788" s="133" t="s">
        <v>924</v>
      </c>
      <c r="B788" s="147">
        <v>43063</v>
      </c>
      <c r="C788" s="147"/>
      <c r="D788" s="96">
        <v>60</v>
      </c>
      <c r="E788" s="22">
        <v>0</v>
      </c>
      <c r="F788" s="22">
        <v>8792.09</v>
      </c>
      <c r="G788" s="22">
        <v>0</v>
      </c>
      <c r="H788" s="87">
        <f t="shared" si="72"/>
        <v>8792.09</v>
      </c>
      <c r="I788" s="87">
        <f t="shared" si="73"/>
        <v>8792.09</v>
      </c>
      <c r="J788" s="119"/>
      <c r="K788" s="83"/>
      <c r="L788" s="155"/>
    </row>
    <row r="789" spans="1:12" s="82" customFormat="1" ht="24" hidden="1" outlineLevel="1" x14ac:dyDescent="0.2">
      <c r="A789" s="133" t="s">
        <v>925</v>
      </c>
      <c r="B789" s="147">
        <v>42990</v>
      </c>
      <c r="C789" s="147">
        <v>43132</v>
      </c>
      <c r="D789" s="96">
        <v>90</v>
      </c>
      <c r="E789" s="22">
        <v>19346.759999999998</v>
      </c>
      <c r="F789" s="22">
        <v>6573.06</v>
      </c>
      <c r="G789" s="22">
        <v>0</v>
      </c>
      <c r="H789" s="87">
        <f t="shared" si="72"/>
        <v>25919.82</v>
      </c>
      <c r="I789" s="87">
        <f t="shared" si="73"/>
        <v>25919.82</v>
      </c>
      <c r="J789" s="119"/>
      <c r="K789" s="83"/>
      <c r="L789" s="155"/>
    </row>
    <row r="790" spans="1:12" s="82" customFormat="1" ht="24" hidden="1" outlineLevel="1" x14ac:dyDescent="0.2">
      <c r="A790" s="133" t="s">
        <v>926</v>
      </c>
      <c r="B790" s="147">
        <v>43161</v>
      </c>
      <c r="C790" s="147"/>
      <c r="D790" s="96">
        <v>40</v>
      </c>
      <c r="E790" s="22">
        <v>0</v>
      </c>
      <c r="F790" s="22">
        <v>7809.05</v>
      </c>
      <c r="G790" s="22">
        <v>0</v>
      </c>
      <c r="H790" s="87">
        <f t="shared" si="72"/>
        <v>7809.05</v>
      </c>
      <c r="I790" s="87">
        <f t="shared" si="73"/>
        <v>7809.05</v>
      </c>
      <c r="J790" s="119"/>
      <c r="K790" s="83"/>
      <c r="L790" s="155"/>
    </row>
    <row r="791" spans="1:12" s="82" customFormat="1" hidden="1" outlineLevel="1" x14ac:dyDescent="0.2">
      <c r="A791" s="133" t="s">
        <v>927</v>
      </c>
      <c r="B791" s="147">
        <v>43129</v>
      </c>
      <c r="C791" s="147">
        <v>43202</v>
      </c>
      <c r="D791" s="96">
        <v>90</v>
      </c>
      <c r="E791" s="22">
        <v>0</v>
      </c>
      <c r="F791" s="22">
        <v>4683.8999999999996</v>
      </c>
      <c r="G791" s="22">
        <v>0</v>
      </c>
      <c r="H791" s="87">
        <f t="shared" si="72"/>
        <v>4683.8999999999996</v>
      </c>
      <c r="I791" s="87">
        <f t="shared" si="73"/>
        <v>4683.8999999999996</v>
      </c>
      <c r="J791" s="119"/>
      <c r="K791" s="83"/>
      <c r="L791" s="155"/>
    </row>
    <row r="792" spans="1:12" s="82" customFormat="1" ht="24" hidden="1" outlineLevel="1" x14ac:dyDescent="0.2">
      <c r="A792" s="133" t="s">
        <v>928</v>
      </c>
      <c r="B792" s="147"/>
      <c r="C792" s="147"/>
      <c r="D792" s="96"/>
      <c r="E792" s="22">
        <v>31747.599999999999</v>
      </c>
      <c r="F792" s="22">
        <v>8402.6200000000008</v>
      </c>
      <c r="G792" s="22">
        <v>0</v>
      </c>
      <c r="H792" s="87">
        <f t="shared" si="72"/>
        <v>40150.22</v>
      </c>
      <c r="I792" s="87">
        <f t="shared" si="73"/>
        <v>40150.22</v>
      </c>
      <c r="J792" s="119"/>
      <c r="K792" s="83"/>
      <c r="L792" s="155"/>
    </row>
    <row r="793" spans="1:12" s="82" customFormat="1" ht="24" hidden="1" outlineLevel="1" x14ac:dyDescent="0.2">
      <c r="A793" s="35" t="s">
        <v>1101</v>
      </c>
      <c r="B793" s="148">
        <v>43063</v>
      </c>
      <c r="C793" s="147">
        <v>43129</v>
      </c>
      <c r="D793" s="96">
        <v>95</v>
      </c>
      <c r="E793" s="22">
        <v>8330.75</v>
      </c>
      <c r="F793" s="22">
        <v>29507.21</v>
      </c>
      <c r="G793" s="22"/>
      <c r="H793" s="87">
        <f t="shared" ref="H793" si="78">F793+E793+G793</f>
        <v>37837.96</v>
      </c>
      <c r="I793" s="77">
        <f t="shared" si="73"/>
        <v>37837.96</v>
      </c>
      <c r="J793" s="119"/>
      <c r="K793" s="83"/>
      <c r="L793" s="155"/>
    </row>
    <row r="794" spans="1:12" s="82" customFormat="1" ht="24" hidden="1" outlineLevel="1" x14ac:dyDescent="0.2">
      <c r="A794" s="133" t="s">
        <v>929</v>
      </c>
      <c r="B794" s="147">
        <v>43005</v>
      </c>
      <c r="C794" s="147"/>
      <c r="D794" s="96">
        <v>60</v>
      </c>
      <c r="E794" s="22">
        <v>0</v>
      </c>
      <c r="F794" s="22">
        <v>10016.77</v>
      </c>
      <c r="G794" s="22">
        <v>0</v>
      </c>
      <c r="H794" s="87">
        <f t="shared" si="72"/>
        <v>10016.77</v>
      </c>
      <c r="I794" s="87">
        <f t="shared" si="73"/>
        <v>10016.77</v>
      </c>
      <c r="J794" s="119"/>
      <c r="K794" s="83"/>
      <c r="L794" s="155"/>
    </row>
    <row r="795" spans="1:12" s="82" customFormat="1" hidden="1" outlineLevel="1" x14ac:dyDescent="0.2">
      <c r="A795" s="133" t="s">
        <v>930</v>
      </c>
      <c r="B795" s="147">
        <v>43046</v>
      </c>
      <c r="C795" s="147"/>
      <c r="D795" s="96">
        <v>60</v>
      </c>
      <c r="E795" s="22">
        <v>30140.01</v>
      </c>
      <c r="F795" s="22">
        <v>9134.8799999999992</v>
      </c>
      <c r="G795" s="22">
        <v>0</v>
      </c>
      <c r="H795" s="87">
        <f t="shared" si="72"/>
        <v>39274.89</v>
      </c>
      <c r="I795" s="87">
        <f t="shared" si="73"/>
        <v>39274.89</v>
      </c>
      <c r="J795" s="119"/>
      <c r="K795" s="83"/>
      <c r="L795" s="155"/>
    </row>
    <row r="796" spans="1:12" s="82" customFormat="1" hidden="1" outlineLevel="1" x14ac:dyDescent="0.2">
      <c r="A796" s="133" t="s">
        <v>931</v>
      </c>
      <c r="B796" s="147">
        <v>43062</v>
      </c>
      <c r="C796" s="147">
        <v>43186</v>
      </c>
      <c r="D796" s="96">
        <v>90</v>
      </c>
      <c r="E796" s="22">
        <v>58396.81</v>
      </c>
      <c r="F796" s="22">
        <v>10016.77</v>
      </c>
      <c r="G796" s="22">
        <v>0</v>
      </c>
      <c r="H796" s="87">
        <f t="shared" si="72"/>
        <v>68413.58</v>
      </c>
      <c r="I796" s="87">
        <f t="shared" si="73"/>
        <v>68413.58</v>
      </c>
      <c r="J796" s="119"/>
      <c r="K796" s="83"/>
      <c r="L796" s="155"/>
    </row>
    <row r="797" spans="1:12" s="82" customFormat="1" ht="24" hidden="1" outlineLevel="1" x14ac:dyDescent="0.2">
      <c r="A797" s="133" t="s">
        <v>932</v>
      </c>
      <c r="B797" s="147">
        <v>43069</v>
      </c>
      <c r="C797" s="147"/>
      <c r="D797" s="96">
        <v>20</v>
      </c>
      <c r="E797" s="22">
        <v>0</v>
      </c>
      <c r="F797" s="22">
        <v>11779.5</v>
      </c>
      <c r="G797" s="22">
        <v>0</v>
      </c>
      <c r="H797" s="87">
        <f t="shared" si="72"/>
        <v>11779.5</v>
      </c>
      <c r="I797" s="87">
        <f t="shared" si="73"/>
        <v>11779.5</v>
      </c>
      <c r="J797" s="119"/>
      <c r="K797" s="83"/>
      <c r="L797" s="155"/>
    </row>
    <row r="798" spans="1:12" s="82" customFormat="1" hidden="1" outlineLevel="1" x14ac:dyDescent="0.2">
      <c r="A798" s="133" t="s">
        <v>933</v>
      </c>
      <c r="B798" s="147">
        <v>43074</v>
      </c>
      <c r="C798" s="147"/>
      <c r="D798" s="96">
        <v>40</v>
      </c>
      <c r="E798" s="22">
        <v>0</v>
      </c>
      <c r="F798" s="22">
        <v>3305.36</v>
      </c>
      <c r="G798" s="22">
        <v>0</v>
      </c>
      <c r="H798" s="87">
        <f t="shared" si="72"/>
        <v>3305.36</v>
      </c>
      <c r="I798" s="87">
        <f t="shared" si="73"/>
        <v>3305.36</v>
      </c>
      <c r="J798" s="119"/>
      <c r="K798" s="83"/>
      <c r="L798" s="155"/>
    </row>
    <row r="799" spans="1:12" s="82" customFormat="1" ht="24" hidden="1" outlineLevel="1" x14ac:dyDescent="0.2">
      <c r="A799" s="133" t="s">
        <v>934</v>
      </c>
      <c r="B799" s="147">
        <v>42961</v>
      </c>
      <c r="C799" s="147"/>
      <c r="D799" s="96">
        <v>30</v>
      </c>
      <c r="E799" s="22">
        <v>0</v>
      </c>
      <c r="F799" s="22">
        <v>17506.68</v>
      </c>
      <c r="G799" s="22">
        <v>0</v>
      </c>
      <c r="H799" s="87">
        <f t="shared" si="72"/>
        <v>17506.68</v>
      </c>
      <c r="I799" s="87">
        <f t="shared" si="73"/>
        <v>17506.68</v>
      </c>
      <c r="J799" s="119"/>
      <c r="K799" s="83"/>
      <c r="L799" s="155"/>
    </row>
    <row r="800" spans="1:12" s="82" customFormat="1" ht="24" hidden="1" outlineLevel="1" x14ac:dyDescent="0.2">
      <c r="A800" s="35" t="s">
        <v>1102</v>
      </c>
      <c r="B800" s="148">
        <v>42607</v>
      </c>
      <c r="C800" s="147">
        <v>43190</v>
      </c>
      <c r="D800" s="96">
        <v>98</v>
      </c>
      <c r="E800" s="22">
        <v>8015</v>
      </c>
      <c r="F800" s="22"/>
      <c r="G800" s="22"/>
      <c r="H800" s="87">
        <f t="shared" ref="H800" si="79">F800+E800+G800</f>
        <v>8015</v>
      </c>
      <c r="I800" s="77">
        <f t="shared" si="73"/>
        <v>8015</v>
      </c>
      <c r="J800" s="119"/>
      <c r="K800" s="83"/>
      <c r="L800" s="155"/>
    </row>
    <row r="801" spans="1:12" s="82" customFormat="1" ht="24" hidden="1" outlineLevel="1" x14ac:dyDescent="0.2">
      <c r="A801" s="133" t="s">
        <v>935</v>
      </c>
      <c r="B801" s="147">
        <v>42850</v>
      </c>
      <c r="C801" s="147"/>
      <c r="D801" s="96">
        <v>30</v>
      </c>
      <c r="E801" s="22">
        <v>0</v>
      </c>
      <c r="F801" s="22">
        <v>15665.96</v>
      </c>
      <c r="G801" s="22">
        <v>0</v>
      </c>
      <c r="H801" s="87">
        <f t="shared" si="72"/>
        <v>15665.96</v>
      </c>
      <c r="I801" s="87">
        <f t="shared" si="73"/>
        <v>15665.96</v>
      </c>
      <c r="J801" s="119"/>
      <c r="K801" s="83"/>
      <c r="L801" s="155"/>
    </row>
    <row r="802" spans="1:12" s="82" customFormat="1" ht="24" hidden="1" outlineLevel="1" x14ac:dyDescent="0.2">
      <c r="A802" s="133" t="s">
        <v>936</v>
      </c>
      <c r="B802" s="147">
        <v>42907</v>
      </c>
      <c r="C802" s="147">
        <v>43020</v>
      </c>
      <c r="D802" s="96">
        <v>90</v>
      </c>
      <c r="E802" s="22">
        <v>0</v>
      </c>
      <c r="F802" s="22">
        <v>6355</v>
      </c>
      <c r="G802" s="22">
        <v>0</v>
      </c>
      <c r="H802" s="87">
        <f t="shared" si="72"/>
        <v>6355</v>
      </c>
      <c r="I802" s="87">
        <f t="shared" si="73"/>
        <v>6355</v>
      </c>
      <c r="J802" s="119"/>
      <c r="K802" s="83"/>
      <c r="L802" s="155"/>
    </row>
    <row r="803" spans="1:12" s="82" customFormat="1" ht="24" hidden="1" outlineLevel="1" x14ac:dyDescent="0.2">
      <c r="A803" s="133" t="s">
        <v>937</v>
      </c>
      <c r="B803" s="147">
        <v>42762</v>
      </c>
      <c r="C803" s="147"/>
      <c r="D803" s="96">
        <v>30</v>
      </c>
      <c r="E803" s="22">
        <v>0</v>
      </c>
      <c r="F803" s="22">
        <v>7150.78</v>
      </c>
      <c r="G803" s="22">
        <v>0</v>
      </c>
      <c r="H803" s="87">
        <f t="shared" si="72"/>
        <v>7150.78</v>
      </c>
      <c r="I803" s="87">
        <f t="shared" si="73"/>
        <v>7150.78</v>
      </c>
      <c r="J803" s="119"/>
      <c r="K803" s="83"/>
      <c r="L803" s="155"/>
    </row>
    <row r="804" spans="1:12" s="82" customFormat="1" ht="24" hidden="1" outlineLevel="1" x14ac:dyDescent="0.2">
      <c r="A804" s="133" t="s">
        <v>938</v>
      </c>
      <c r="B804" s="147">
        <v>43066</v>
      </c>
      <c r="C804" s="147">
        <v>43139</v>
      </c>
      <c r="D804" s="96">
        <v>90</v>
      </c>
      <c r="E804" s="22">
        <v>23081.96</v>
      </c>
      <c r="F804" s="22">
        <v>9134.8799999999992</v>
      </c>
      <c r="G804" s="22">
        <v>0</v>
      </c>
      <c r="H804" s="87">
        <f t="shared" si="72"/>
        <v>32216.839999999997</v>
      </c>
      <c r="I804" s="87">
        <f t="shared" si="73"/>
        <v>32216.839999999997</v>
      </c>
      <c r="J804" s="119"/>
      <c r="K804" s="83"/>
      <c r="L804" s="155"/>
    </row>
    <row r="805" spans="1:12" s="82" customFormat="1" hidden="1" outlineLevel="1" x14ac:dyDescent="0.2">
      <c r="A805" s="133" t="s">
        <v>939</v>
      </c>
      <c r="B805" s="147">
        <v>43083</v>
      </c>
      <c r="C805" s="147"/>
      <c r="D805" s="96">
        <v>50</v>
      </c>
      <c r="E805" s="22">
        <v>0</v>
      </c>
      <c r="F805" s="22">
        <v>14021.44</v>
      </c>
      <c r="G805" s="22">
        <v>0</v>
      </c>
      <c r="H805" s="87">
        <f t="shared" si="72"/>
        <v>14021.44</v>
      </c>
      <c r="I805" s="87">
        <f t="shared" si="73"/>
        <v>14021.44</v>
      </c>
      <c r="J805" s="119"/>
      <c r="K805" s="83"/>
      <c r="L805" s="155"/>
    </row>
    <row r="806" spans="1:12" s="82" customFormat="1" ht="24" hidden="1" outlineLevel="1" x14ac:dyDescent="0.2">
      <c r="A806" s="133" t="s">
        <v>940</v>
      </c>
      <c r="B806" s="147">
        <v>42782</v>
      </c>
      <c r="C806" s="147"/>
      <c r="D806" s="96">
        <v>80</v>
      </c>
      <c r="E806" s="22">
        <v>515782.2</v>
      </c>
      <c r="F806" s="22">
        <v>64377.5</v>
      </c>
      <c r="G806" s="22">
        <v>0</v>
      </c>
      <c r="H806" s="87">
        <f t="shared" si="72"/>
        <v>580159.69999999995</v>
      </c>
      <c r="I806" s="87">
        <f t="shared" si="73"/>
        <v>580159.69999999995</v>
      </c>
      <c r="J806" s="119"/>
      <c r="K806" s="83"/>
      <c r="L806" s="155"/>
    </row>
    <row r="807" spans="1:12" s="82" customFormat="1" hidden="1" outlineLevel="1" x14ac:dyDescent="0.2">
      <c r="A807" s="133" t="s">
        <v>941</v>
      </c>
      <c r="B807" s="147">
        <v>43006</v>
      </c>
      <c r="C807" s="147"/>
      <c r="D807" s="96">
        <v>50</v>
      </c>
      <c r="E807" s="22">
        <v>1849.01</v>
      </c>
      <c r="F807" s="22">
        <v>6922.98</v>
      </c>
      <c r="G807" s="22">
        <v>0</v>
      </c>
      <c r="H807" s="87">
        <f t="shared" si="72"/>
        <v>8771.99</v>
      </c>
      <c r="I807" s="87">
        <f t="shared" si="73"/>
        <v>8771.99</v>
      </c>
      <c r="J807" s="119"/>
      <c r="K807" s="83"/>
      <c r="L807" s="155"/>
    </row>
    <row r="808" spans="1:12" s="82" customFormat="1" ht="24" hidden="1" outlineLevel="1" x14ac:dyDescent="0.2">
      <c r="A808" s="133" t="s">
        <v>942</v>
      </c>
      <c r="B808" s="147">
        <v>43070</v>
      </c>
      <c r="C808" s="147"/>
      <c r="D808" s="96">
        <v>40</v>
      </c>
      <c r="E808" s="22">
        <v>0</v>
      </c>
      <c r="F808" s="22">
        <v>11172.4</v>
      </c>
      <c r="G808" s="22">
        <v>0</v>
      </c>
      <c r="H808" s="87">
        <f t="shared" si="72"/>
        <v>11172.4</v>
      </c>
      <c r="I808" s="87">
        <f t="shared" si="73"/>
        <v>11172.4</v>
      </c>
      <c r="J808" s="119"/>
      <c r="K808" s="83"/>
      <c r="L808" s="155"/>
    </row>
    <row r="809" spans="1:12" s="82" customFormat="1" hidden="1" outlineLevel="1" x14ac:dyDescent="0.2">
      <c r="A809" s="133" t="s">
        <v>943</v>
      </c>
      <c r="B809" s="147">
        <v>43084</v>
      </c>
      <c r="C809" s="147">
        <v>43187</v>
      </c>
      <c r="D809" s="96">
        <v>90</v>
      </c>
      <c r="E809" s="22">
        <v>26613.55</v>
      </c>
      <c r="F809" s="22">
        <v>6882.8</v>
      </c>
      <c r="G809" s="22">
        <v>0</v>
      </c>
      <c r="H809" s="87">
        <f t="shared" si="72"/>
        <v>33496.35</v>
      </c>
      <c r="I809" s="87">
        <f t="shared" si="73"/>
        <v>33496.35</v>
      </c>
      <c r="J809" s="119"/>
      <c r="K809" s="83"/>
      <c r="L809" s="155"/>
    </row>
    <row r="810" spans="1:12" s="82" customFormat="1" ht="24" hidden="1" outlineLevel="1" x14ac:dyDescent="0.2">
      <c r="A810" s="133" t="s">
        <v>944</v>
      </c>
      <c r="B810" s="147">
        <v>42811</v>
      </c>
      <c r="C810" s="147"/>
      <c r="D810" s="96">
        <v>40</v>
      </c>
      <c r="E810" s="22">
        <v>0</v>
      </c>
      <c r="F810" s="22">
        <v>1550.46</v>
      </c>
      <c r="G810" s="22">
        <v>0</v>
      </c>
      <c r="H810" s="87">
        <f t="shared" si="72"/>
        <v>1550.46</v>
      </c>
      <c r="I810" s="87">
        <f t="shared" si="73"/>
        <v>1550.46</v>
      </c>
      <c r="J810" s="119"/>
      <c r="K810" s="83"/>
      <c r="L810" s="155"/>
    </row>
    <row r="811" spans="1:12" s="82" customFormat="1" ht="24" hidden="1" outlineLevel="1" x14ac:dyDescent="0.2">
      <c r="A811" s="133" t="s">
        <v>945</v>
      </c>
      <c r="B811" s="147">
        <v>42962</v>
      </c>
      <c r="C811" s="147"/>
      <c r="D811" s="96">
        <v>20</v>
      </c>
      <c r="E811" s="22">
        <v>40885.879999999997</v>
      </c>
      <c r="F811" s="22">
        <v>7054.2</v>
      </c>
      <c r="G811" s="22">
        <v>0</v>
      </c>
      <c r="H811" s="87">
        <f t="shared" si="72"/>
        <v>47940.079999999994</v>
      </c>
      <c r="I811" s="87">
        <f t="shared" si="73"/>
        <v>47940.079999999994</v>
      </c>
      <c r="J811" s="119"/>
      <c r="K811" s="83"/>
      <c r="L811" s="155"/>
    </row>
    <row r="812" spans="1:12" s="82" customFormat="1" ht="24" hidden="1" outlineLevel="1" x14ac:dyDescent="0.2">
      <c r="A812" s="35" t="s">
        <v>1103</v>
      </c>
      <c r="B812" s="148">
        <v>42916</v>
      </c>
      <c r="C812" s="147">
        <v>43465</v>
      </c>
      <c r="D812" s="96">
        <v>40</v>
      </c>
      <c r="E812" s="22">
        <f>7335.34+5000</f>
        <v>12335.34</v>
      </c>
      <c r="F812" s="22">
        <v>79744.990000000005</v>
      </c>
      <c r="G812" s="22">
        <v>4062.72</v>
      </c>
      <c r="H812" s="87">
        <f t="shared" ref="H812" si="80">F812+E812+G812</f>
        <v>96143.05</v>
      </c>
      <c r="I812" s="77">
        <f t="shared" si="73"/>
        <v>96143.05</v>
      </c>
      <c r="J812" s="119"/>
      <c r="K812" s="83"/>
      <c r="L812" s="155"/>
    </row>
    <row r="813" spans="1:12" s="82" customFormat="1" ht="24" hidden="1" outlineLevel="1" x14ac:dyDescent="0.2">
      <c r="A813" s="133" t="s">
        <v>946</v>
      </c>
      <c r="B813" s="147">
        <v>42977</v>
      </c>
      <c r="C813" s="147"/>
      <c r="D813" s="96">
        <v>30</v>
      </c>
      <c r="E813" s="22">
        <v>113874.5</v>
      </c>
      <c r="F813" s="22">
        <v>9287.1</v>
      </c>
      <c r="G813" s="22">
        <v>0</v>
      </c>
      <c r="H813" s="87">
        <f t="shared" si="72"/>
        <v>123161.60000000001</v>
      </c>
      <c r="I813" s="87">
        <f t="shared" si="73"/>
        <v>123161.60000000001</v>
      </c>
      <c r="J813" s="119"/>
      <c r="K813" s="83"/>
      <c r="L813" s="155"/>
    </row>
    <row r="814" spans="1:12" s="82" customFormat="1" hidden="1" outlineLevel="1" x14ac:dyDescent="0.2">
      <c r="A814" s="133" t="s">
        <v>947</v>
      </c>
      <c r="B814" s="147">
        <v>43062</v>
      </c>
      <c r="C814" s="147">
        <v>43186</v>
      </c>
      <c r="D814" s="96">
        <v>90</v>
      </c>
      <c r="E814" s="22">
        <v>36227.14</v>
      </c>
      <c r="F814" s="22">
        <v>10016.77</v>
      </c>
      <c r="G814" s="22">
        <v>0</v>
      </c>
      <c r="H814" s="87">
        <f t="shared" si="72"/>
        <v>46243.91</v>
      </c>
      <c r="I814" s="87">
        <f t="shared" si="73"/>
        <v>46243.91</v>
      </c>
      <c r="J814" s="119"/>
      <c r="K814" s="83"/>
      <c r="L814" s="155"/>
    </row>
    <row r="815" spans="1:12" s="82" customFormat="1" hidden="1" outlineLevel="1" x14ac:dyDescent="0.2">
      <c r="A815" s="133" t="s">
        <v>948</v>
      </c>
      <c r="B815" s="147">
        <v>42999</v>
      </c>
      <c r="C815" s="147"/>
      <c r="D815" s="96">
        <v>30</v>
      </c>
      <c r="E815" s="22">
        <v>38389.94</v>
      </c>
      <c r="F815" s="22">
        <v>6728.07</v>
      </c>
      <c r="G815" s="22">
        <v>0</v>
      </c>
      <c r="H815" s="87">
        <f t="shared" si="72"/>
        <v>45118.01</v>
      </c>
      <c r="I815" s="87">
        <f t="shared" si="73"/>
        <v>45118.01</v>
      </c>
      <c r="J815" s="119"/>
      <c r="K815" s="83"/>
      <c r="L815" s="155"/>
    </row>
    <row r="816" spans="1:12" s="82" customFormat="1" hidden="1" outlineLevel="1" x14ac:dyDescent="0.2">
      <c r="A816" s="133" t="s">
        <v>949</v>
      </c>
      <c r="B816" s="147">
        <v>43046</v>
      </c>
      <c r="C816" s="147"/>
      <c r="D816" s="96">
        <v>30</v>
      </c>
      <c r="E816" s="22">
        <v>0</v>
      </c>
      <c r="F816" s="22">
        <v>10953.16</v>
      </c>
      <c r="G816" s="22">
        <v>0</v>
      </c>
      <c r="H816" s="87">
        <f t="shared" si="72"/>
        <v>10953.16</v>
      </c>
      <c r="I816" s="87">
        <f t="shared" si="73"/>
        <v>10953.16</v>
      </c>
      <c r="J816" s="119"/>
      <c r="K816" s="83"/>
      <c r="L816" s="155"/>
    </row>
    <row r="817" spans="1:12" s="82" customFormat="1" ht="24" hidden="1" outlineLevel="1" x14ac:dyDescent="0.2">
      <c r="A817" s="133" t="s">
        <v>950</v>
      </c>
      <c r="B817" s="147">
        <v>42993</v>
      </c>
      <c r="C817" s="147"/>
      <c r="D817" s="96">
        <v>35</v>
      </c>
      <c r="E817" s="22">
        <v>0</v>
      </c>
      <c r="F817" s="22">
        <v>6573.06</v>
      </c>
      <c r="G817" s="22">
        <v>0</v>
      </c>
      <c r="H817" s="87">
        <f t="shared" si="72"/>
        <v>6573.06</v>
      </c>
      <c r="I817" s="87">
        <f t="shared" si="73"/>
        <v>6573.06</v>
      </c>
      <c r="J817" s="119"/>
      <c r="K817" s="83"/>
      <c r="L817" s="155"/>
    </row>
    <row r="818" spans="1:12" s="82" customFormat="1" hidden="1" outlineLevel="1" x14ac:dyDescent="0.2">
      <c r="A818" s="133" t="s">
        <v>951</v>
      </c>
      <c r="B818" s="147">
        <v>42555</v>
      </c>
      <c r="C818" s="147"/>
      <c r="D818" s="96">
        <v>60</v>
      </c>
      <c r="E818" s="22">
        <v>0</v>
      </c>
      <c r="F818" s="22">
        <v>7078.57</v>
      </c>
      <c r="G818" s="22">
        <v>0</v>
      </c>
      <c r="H818" s="87">
        <f t="shared" si="72"/>
        <v>7078.57</v>
      </c>
      <c r="I818" s="87">
        <f t="shared" si="73"/>
        <v>7078.57</v>
      </c>
      <c r="J818" s="119"/>
      <c r="K818" s="83"/>
      <c r="L818" s="155"/>
    </row>
    <row r="819" spans="1:12" s="82" customFormat="1" ht="24" hidden="1" outlineLevel="1" x14ac:dyDescent="0.2">
      <c r="A819" s="35" t="s">
        <v>1104</v>
      </c>
      <c r="B819" s="148">
        <v>42674</v>
      </c>
      <c r="C819" s="147">
        <v>43465</v>
      </c>
      <c r="D819" s="96">
        <v>40</v>
      </c>
      <c r="E819" s="22">
        <v>292292.84000000003</v>
      </c>
      <c r="F819" s="22"/>
      <c r="G819" s="22"/>
      <c r="H819" s="87">
        <f t="shared" ref="H819:H820" si="81">F819+E819+G819</f>
        <v>292292.84000000003</v>
      </c>
      <c r="I819" s="77">
        <f t="shared" si="73"/>
        <v>292292.84000000003</v>
      </c>
      <c r="J819" s="119"/>
      <c r="K819" s="83"/>
      <c r="L819" s="155"/>
    </row>
    <row r="820" spans="1:12" s="82" customFormat="1" ht="24" hidden="1" outlineLevel="1" x14ac:dyDescent="0.2">
      <c r="A820" s="35" t="s">
        <v>1105</v>
      </c>
      <c r="B820" s="147">
        <v>42717</v>
      </c>
      <c r="C820" s="147">
        <v>43465</v>
      </c>
      <c r="D820" s="96">
        <v>40</v>
      </c>
      <c r="E820" s="22">
        <v>30444.33</v>
      </c>
      <c r="F820" s="22"/>
      <c r="G820" s="22"/>
      <c r="H820" s="87">
        <f t="shared" si="81"/>
        <v>30444.33</v>
      </c>
      <c r="I820" s="77">
        <f t="shared" si="73"/>
        <v>30444.33</v>
      </c>
      <c r="J820" s="119"/>
      <c r="K820" s="83"/>
      <c r="L820" s="155"/>
    </row>
    <row r="821" spans="1:12" s="82" customFormat="1" ht="24" hidden="1" outlineLevel="1" x14ac:dyDescent="0.2">
      <c r="A821" s="133" t="s">
        <v>952</v>
      </c>
      <c r="B821" s="147">
        <v>43005</v>
      </c>
      <c r="C821" s="147">
        <v>43174</v>
      </c>
      <c r="D821" s="96">
        <v>90</v>
      </c>
      <c r="E821" s="22">
        <v>25776.1</v>
      </c>
      <c r="F821" s="22">
        <v>6775.96</v>
      </c>
      <c r="G821" s="22">
        <v>0</v>
      </c>
      <c r="H821" s="87">
        <f t="shared" si="72"/>
        <v>32552.059999999998</v>
      </c>
      <c r="I821" s="87">
        <f t="shared" si="73"/>
        <v>32552.059999999998</v>
      </c>
      <c r="J821" s="119"/>
      <c r="K821" s="83"/>
      <c r="L821" s="155"/>
    </row>
    <row r="822" spans="1:12" s="82" customFormat="1" ht="24" hidden="1" outlineLevel="1" x14ac:dyDescent="0.2">
      <c r="A822" s="133" t="s">
        <v>953</v>
      </c>
      <c r="B822" s="147">
        <v>42985</v>
      </c>
      <c r="C822" s="147"/>
      <c r="D822" s="96">
        <v>40</v>
      </c>
      <c r="E822" s="22">
        <v>33576.75</v>
      </c>
      <c r="F822" s="22">
        <v>51728.07</v>
      </c>
      <c r="G822" s="22">
        <v>0</v>
      </c>
      <c r="H822" s="87">
        <f t="shared" si="72"/>
        <v>85304.82</v>
      </c>
      <c r="I822" s="87">
        <f t="shared" si="73"/>
        <v>85304.82</v>
      </c>
      <c r="J822" s="119"/>
      <c r="K822" s="83"/>
      <c r="L822" s="155"/>
    </row>
    <row r="823" spans="1:12" s="82" customFormat="1" ht="24" hidden="1" outlineLevel="1" x14ac:dyDescent="0.2">
      <c r="A823" s="35" t="s">
        <v>1106</v>
      </c>
      <c r="B823" s="147">
        <v>42916</v>
      </c>
      <c r="C823" s="147">
        <v>43465</v>
      </c>
      <c r="D823" s="96">
        <v>40</v>
      </c>
      <c r="E823" s="22">
        <f>10100+78180</f>
        <v>88280</v>
      </c>
      <c r="F823" s="22">
        <v>1543028.97</v>
      </c>
      <c r="G823" s="22">
        <v>233531.54</v>
      </c>
      <c r="H823" s="87">
        <f t="shared" ref="H823" si="82">F823+E823+G823</f>
        <v>1864840.51</v>
      </c>
      <c r="I823" s="77">
        <f t="shared" si="73"/>
        <v>1864840.51</v>
      </c>
      <c r="J823" s="119"/>
      <c r="K823" s="83"/>
      <c r="L823" s="155"/>
    </row>
    <row r="824" spans="1:12" s="82" customFormat="1" ht="24" hidden="1" outlineLevel="1" x14ac:dyDescent="0.2">
      <c r="A824" s="133" t="s">
        <v>954</v>
      </c>
      <c r="B824" s="147">
        <v>43068</v>
      </c>
      <c r="C824" s="147"/>
      <c r="D824" s="96">
        <v>60</v>
      </c>
      <c r="E824" s="22">
        <v>0</v>
      </c>
      <c r="F824" s="22">
        <v>9024.86</v>
      </c>
      <c r="G824" s="22">
        <v>0</v>
      </c>
      <c r="H824" s="87">
        <f t="shared" si="72"/>
        <v>9024.86</v>
      </c>
      <c r="I824" s="87">
        <f t="shared" si="73"/>
        <v>9024.86</v>
      </c>
      <c r="J824" s="119"/>
      <c r="K824" s="83"/>
      <c r="L824" s="155"/>
    </row>
    <row r="825" spans="1:12" s="82" customFormat="1" ht="24" hidden="1" outlineLevel="1" x14ac:dyDescent="0.2">
      <c r="A825" s="133" t="s">
        <v>955</v>
      </c>
      <c r="B825" s="147">
        <v>42886</v>
      </c>
      <c r="C825" s="147"/>
      <c r="D825" s="96">
        <v>60</v>
      </c>
      <c r="E825" s="22">
        <v>0</v>
      </c>
      <c r="F825" s="22">
        <v>64666.6</v>
      </c>
      <c r="G825" s="22">
        <v>0</v>
      </c>
      <c r="H825" s="87">
        <f t="shared" si="72"/>
        <v>64666.6</v>
      </c>
      <c r="I825" s="87">
        <f t="shared" si="73"/>
        <v>64666.6</v>
      </c>
      <c r="J825" s="119"/>
      <c r="K825" s="83"/>
      <c r="L825" s="155"/>
    </row>
    <row r="826" spans="1:12" s="82" customFormat="1" ht="24" hidden="1" outlineLevel="1" x14ac:dyDescent="0.2">
      <c r="A826" s="133" t="s">
        <v>956</v>
      </c>
      <c r="B826" s="147">
        <v>42989</v>
      </c>
      <c r="C826" s="147">
        <v>43159</v>
      </c>
      <c r="D826" s="96">
        <v>90</v>
      </c>
      <c r="E826" s="22">
        <v>43042</v>
      </c>
      <c r="F826" s="22">
        <v>63361.39</v>
      </c>
      <c r="G826" s="22">
        <v>0</v>
      </c>
      <c r="H826" s="87">
        <f t="shared" si="72"/>
        <v>106403.39</v>
      </c>
      <c r="I826" s="87">
        <f t="shared" si="73"/>
        <v>106403.39</v>
      </c>
      <c r="J826" s="119"/>
      <c r="K826" s="83"/>
      <c r="L826" s="155"/>
    </row>
    <row r="827" spans="1:12" s="82" customFormat="1" ht="24" hidden="1" outlineLevel="1" x14ac:dyDescent="0.2">
      <c r="A827" s="133" t="s">
        <v>957</v>
      </c>
      <c r="B827" s="147">
        <v>42990</v>
      </c>
      <c r="C827" s="147"/>
      <c r="D827" s="96">
        <v>55</v>
      </c>
      <c r="E827" s="22">
        <v>34241.57</v>
      </c>
      <c r="F827" s="22">
        <v>61338.04</v>
      </c>
      <c r="G827" s="22">
        <v>0</v>
      </c>
      <c r="H827" s="87">
        <f t="shared" si="72"/>
        <v>95579.61</v>
      </c>
      <c r="I827" s="87">
        <f t="shared" si="73"/>
        <v>95579.61</v>
      </c>
      <c r="J827" s="119"/>
      <c r="K827" s="83"/>
      <c r="L827" s="155"/>
    </row>
    <row r="828" spans="1:12" s="82" customFormat="1" ht="24" hidden="1" outlineLevel="1" x14ac:dyDescent="0.2">
      <c r="A828" s="133" t="s">
        <v>958</v>
      </c>
      <c r="B828" s="147">
        <v>42879</v>
      </c>
      <c r="C828" s="147">
        <v>43087</v>
      </c>
      <c r="D828" s="96">
        <v>90</v>
      </c>
      <c r="E828" s="22">
        <v>889441</v>
      </c>
      <c r="F828" s="22">
        <v>391920</v>
      </c>
      <c r="G828" s="22">
        <v>0</v>
      </c>
      <c r="H828" s="87">
        <f t="shared" si="72"/>
        <v>1281361</v>
      </c>
      <c r="I828" s="87">
        <f t="shared" si="73"/>
        <v>1281361</v>
      </c>
      <c r="J828" s="119"/>
      <c r="K828" s="83"/>
      <c r="L828" s="155"/>
    </row>
    <row r="829" spans="1:12" s="82" customFormat="1" ht="24" hidden="1" outlineLevel="1" x14ac:dyDescent="0.2">
      <c r="A829" s="133" t="s">
        <v>959</v>
      </c>
      <c r="B829" s="147">
        <v>43024</v>
      </c>
      <c r="C829" s="147"/>
      <c r="D829" s="96">
        <v>40</v>
      </c>
      <c r="E829" s="22">
        <v>0</v>
      </c>
      <c r="F829" s="22">
        <v>7901.33</v>
      </c>
      <c r="G829" s="22">
        <v>0</v>
      </c>
      <c r="H829" s="87">
        <f t="shared" si="72"/>
        <v>7901.33</v>
      </c>
      <c r="I829" s="87">
        <f t="shared" si="73"/>
        <v>7901.33</v>
      </c>
      <c r="J829" s="119"/>
      <c r="K829" s="83"/>
      <c r="L829" s="155"/>
    </row>
    <row r="830" spans="1:12" s="82" customFormat="1" ht="24" hidden="1" outlineLevel="1" x14ac:dyDescent="0.2">
      <c r="A830" s="35" t="s">
        <v>960</v>
      </c>
      <c r="B830" s="148">
        <v>42828</v>
      </c>
      <c r="C830" s="147">
        <v>43190</v>
      </c>
      <c r="D830" s="96">
        <v>88</v>
      </c>
      <c r="E830" s="22">
        <v>16753.650000000001</v>
      </c>
      <c r="F830" s="22">
        <v>9717.16</v>
      </c>
      <c r="G830" s="22">
        <v>26857.34</v>
      </c>
      <c r="H830" s="87">
        <f t="shared" ref="H830" si="83">F830+E830+G830</f>
        <v>53328.15</v>
      </c>
      <c r="I830" s="77">
        <f t="shared" si="73"/>
        <v>53328.15</v>
      </c>
      <c r="J830" s="119"/>
      <c r="K830" s="83"/>
      <c r="L830" s="155"/>
    </row>
    <row r="831" spans="1:12" s="82" customFormat="1" ht="24" hidden="1" outlineLevel="1" x14ac:dyDescent="0.2">
      <c r="A831" s="133" t="s">
        <v>961</v>
      </c>
      <c r="B831" s="147">
        <v>42626</v>
      </c>
      <c r="C831" s="147"/>
      <c r="D831" s="96">
        <v>80</v>
      </c>
      <c r="E831" s="22">
        <v>0</v>
      </c>
      <c r="F831" s="22">
        <v>0</v>
      </c>
      <c r="G831" s="22">
        <v>588.14</v>
      </c>
      <c r="H831" s="87">
        <f t="shared" si="72"/>
        <v>588.14</v>
      </c>
      <c r="I831" s="87">
        <f t="shared" si="73"/>
        <v>588.14</v>
      </c>
      <c r="J831" s="119"/>
      <c r="K831" s="83"/>
      <c r="L831" s="155"/>
    </row>
    <row r="832" spans="1:12" s="82" customFormat="1" ht="24" hidden="1" outlineLevel="1" x14ac:dyDescent="0.2">
      <c r="A832" s="133" t="s">
        <v>962</v>
      </c>
      <c r="B832" s="147">
        <v>42577</v>
      </c>
      <c r="C832" s="147">
        <v>43189</v>
      </c>
      <c r="D832" s="96">
        <v>90</v>
      </c>
      <c r="E832" s="22">
        <v>19445.64</v>
      </c>
      <c r="F832" s="22">
        <v>7986.16</v>
      </c>
      <c r="G832" s="22">
        <v>0</v>
      </c>
      <c r="H832" s="87">
        <f t="shared" si="72"/>
        <v>27431.8</v>
      </c>
      <c r="I832" s="87">
        <f t="shared" si="73"/>
        <v>27431.8</v>
      </c>
      <c r="J832" s="119"/>
      <c r="K832" s="83"/>
      <c r="L832" s="155"/>
    </row>
    <row r="833" spans="1:12" s="82" customFormat="1" ht="24" hidden="1" outlineLevel="1" x14ac:dyDescent="0.2">
      <c r="A833" s="133" t="s">
        <v>963</v>
      </c>
      <c r="B833" s="147">
        <v>42846</v>
      </c>
      <c r="C833" s="147"/>
      <c r="D833" s="96">
        <v>30</v>
      </c>
      <c r="E833" s="22">
        <v>0</v>
      </c>
      <c r="F833" s="22">
        <v>2825.44</v>
      </c>
      <c r="G833" s="22">
        <v>0</v>
      </c>
      <c r="H833" s="87">
        <f t="shared" ref="H833:H899" si="84">E833+F833+G833</f>
        <v>2825.44</v>
      </c>
      <c r="I833" s="87">
        <f t="shared" ref="I833:I899" si="85">H833</f>
        <v>2825.44</v>
      </c>
      <c r="J833" s="119"/>
      <c r="K833" s="83"/>
      <c r="L833" s="155"/>
    </row>
    <row r="834" spans="1:12" s="82" customFormat="1" ht="24" hidden="1" outlineLevel="1" x14ac:dyDescent="0.2">
      <c r="A834" s="133" t="s">
        <v>964</v>
      </c>
      <c r="B834" s="147">
        <v>43027</v>
      </c>
      <c r="C834" s="147"/>
      <c r="D834" s="96">
        <v>45</v>
      </c>
      <c r="E834" s="22">
        <v>0</v>
      </c>
      <c r="F834" s="22">
        <v>64032</v>
      </c>
      <c r="G834" s="22">
        <v>0</v>
      </c>
      <c r="H834" s="87">
        <f t="shared" si="84"/>
        <v>64032</v>
      </c>
      <c r="I834" s="87">
        <f t="shared" si="85"/>
        <v>64032</v>
      </c>
      <c r="J834" s="119"/>
      <c r="K834" s="83"/>
      <c r="L834" s="155"/>
    </row>
    <row r="835" spans="1:12" s="82" customFormat="1" ht="24" hidden="1" outlineLevel="1" x14ac:dyDescent="0.2">
      <c r="A835" s="35" t="s">
        <v>965</v>
      </c>
      <c r="B835" s="148">
        <v>42825</v>
      </c>
      <c r="C835" s="147">
        <v>43465</v>
      </c>
      <c r="D835" s="96">
        <v>70</v>
      </c>
      <c r="E835" s="22">
        <v>90908.79</v>
      </c>
      <c r="F835" s="22">
        <v>57225.55</v>
      </c>
      <c r="G835" s="22"/>
      <c r="H835" s="87">
        <f t="shared" ref="H835" si="86">F835+E835+G835</f>
        <v>148134.34</v>
      </c>
      <c r="I835" s="77">
        <f t="shared" si="85"/>
        <v>148134.34</v>
      </c>
      <c r="J835" s="119"/>
      <c r="K835" s="83"/>
      <c r="L835" s="155"/>
    </row>
    <row r="836" spans="1:12" s="82" customFormat="1" ht="24" hidden="1" outlineLevel="1" x14ac:dyDescent="0.2">
      <c r="A836" s="133" t="s">
        <v>966</v>
      </c>
      <c r="B836" s="147"/>
      <c r="C836" s="147"/>
      <c r="D836" s="96"/>
      <c r="E836" s="22">
        <v>0</v>
      </c>
      <c r="F836" s="22">
        <v>63619.49</v>
      </c>
      <c r="G836" s="22">
        <v>0</v>
      </c>
      <c r="H836" s="87">
        <f t="shared" si="84"/>
        <v>63619.49</v>
      </c>
      <c r="I836" s="87">
        <f t="shared" si="85"/>
        <v>63619.49</v>
      </c>
      <c r="J836" s="119"/>
      <c r="K836" s="83"/>
      <c r="L836" s="155"/>
    </row>
    <row r="837" spans="1:12" s="82" customFormat="1" ht="24" hidden="1" outlineLevel="1" x14ac:dyDescent="0.2">
      <c r="A837" s="133" t="s">
        <v>967</v>
      </c>
      <c r="B837" s="147">
        <v>42765</v>
      </c>
      <c r="C837" s="147"/>
      <c r="D837" s="96">
        <v>30</v>
      </c>
      <c r="E837" s="22">
        <v>0</v>
      </c>
      <c r="F837" s="22">
        <v>6355</v>
      </c>
      <c r="G837" s="22">
        <v>0</v>
      </c>
      <c r="H837" s="87">
        <f t="shared" si="84"/>
        <v>6355</v>
      </c>
      <c r="I837" s="87">
        <f t="shared" si="85"/>
        <v>6355</v>
      </c>
      <c r="J837" s="119"/>
      <c r="K837" s="83"/>
      <c r="L837" s="155"/>
    </row>
    <row r="838" spans="1:12" s="82" customFormat="1" hidden="1" outlineLevel="1" x14ac:dyDescent="0.2">
      <c r="A838" s="133" t="s">
        <v>968</v>
      </c>
      <c r="B838" s="147">
        <v>43094</v>
      </c>
      <c r="C838" s="147"/>
      <c r="D838" s="96">
        <v>30</v>
      </c>
      <c r="E838" s="22">
        <v>0</v>
      </c>
      <c r="F838" s="22">
        <v>3723.91</v>
      </c>
      <c r="G838" s="22">
        <v>0</v>
      </c>
      <c r="H838" s="87">
        <f t="shared" si="84"/>
        <v>3723.91</v>
      </c>
      <c r="I838" s="87">
        <f t="shared" si="85"/>
        <v>3723.91</v>
      </c>
      <c r="J838" s="119"/>
      <c r="K838" s="83"/>
      <c r="L838" s="155"/>
    </row>
    <row r="839" spans="1:12" s="82" customFormat="1" ht="24" hidden="1" outlineLevel="1" x14ac:dyDescent="0.2">
      <c r="A839" s="133" t="s">
        <v>969</v>
      </c>
      <c r="B839" s="147">
        <v>42779</v>
      </c>
      <c r="C839" s="147">
        <v>43136</v>
      </c>
      <c r="D839" s="96">
        <v>90</v>
      </c>
      <c r="E839" s="22">
        <v>171890.73</v>
      </c>
      <c r="F839" s="22">
        <v>19840.900000000001</v>
      </c>
      <c r="G839" s="22">
        <v>0</v>
      </c>
      <c r="H839" s="87">
        <f t="shared" si="84"/>
        <v>191731.63</v>
      </c>
      <c r="I839" s="87">
        <f t="shared" si="85"/>
        <v>191731.63</v>
      </c>
      <c r="J839" s="119"/>
      <c r="K839" s="83"/>
      <c r="L839" s="155"/>
    </row>
    <row r="840" spans="1:12" s="82" customFormat="1" ht="24" hidden="1" outlineLevel="1" x14ac:dyDescent="0.2">
      <c r="A840" s="133" t="s">
        <v>970</v>
      </c>
      <c r="B840" s="147">
        <v>43066</v>
      </c>
      <c r="C840" s="147"/>
      <c r="D840" s="96">
        <v>80</v>
      </c>
      <c r="E840" s="22">
        <v>0</v>
      </c>
      <c r="F840" s="22">
        <v>7901.33</v>
      </c>
      <c r="G840" s="22">
        <v>0</v>
      </c>
      <c r="H840" s="87">
        <f t="shared" si="84"/>
        <v>7901.33</v>
      </c>
      <c r="I840" s="87">
        <f t="shared" si="85"/>
        <v>7901.33</v>
      </c>
      <c r="J840" s="119"/>
      <c r="K840" s="83"/>
      <c r="L840" s="155"/>
    </row>
    <row r="841" spans="1:12" s="82" customFormat="1" ht="24" hidden="1" outlineLevel="1" x14ac:dyDescent="0.2">
      <c r="A841" s="133" t="s">
        <v>971</v>
      </c>
      <c r="B841" s="147">
        <v>43067</v>
      </c>
      <c r="C841" s="147">
        <v>43165</v>
      </c>
      <c r="D841" s="96">
        <v>90</v>
      </c>
      <c r="E841" s="22">
        <v>15307.24</v>
      </c>
      <c r="F841" s="22">
        <v>8792.09</v>
      </c>
      <c r="G841" s="22">
        <v>0</v>
      </c>
      <c r="H841" s="87">
        <f t="shared" si="84"/>
        <v>24099.33</v>
      </c>
      <c r="I841" s="87">
        <f t="shared" si="85"/>
        <v>24099.33</v>
      </c>
      <c r="J841" s="119"/>
      <c r="K841" s="83"/>
      <c r="L841" s="155"/>
    </row>
    <row r="842" spans="1:12" s="82" customFormat="1" ht="24" hidden="1" outlineLevel="1" x14ac:dyDescent="0.2">
      <c r="A842" s="133" t="s">
        <v>972</v>
      </c>
      <c r="B842" s="147">
        <v>43061</v>
      </c>
      <c r="C842" s="147"/>
      <c r="D842" s="96">
        <v>50</v>
      </c>
      <c r="E842" s="22">
        <v>0</v>
      </c>
      <c r="F842" s="22">
        <v>2252.08</v>
      </c>
      <c r="G842" s="22">
        <v>0</v>
      </c>
      <c r="H842" s="87">
        <f t="shared" si="84"/>
        <v>2252.08</v>
      </c>
      <c r="I842" s="87">
        <f t="shared" si="85"/>
        <v>2252.08</v>
      </c>
      <c r="J842" s="119"/>
      <c r="K842" s="83"/>
      <c r="L842" s="155"/>
    </row>
    <row r="843" spans="1:12" s="82" customFormat="1" ht="24" hidden="1" outlineLevel="1" x14ac:dyDescent="0.2">
      <c r="A843" s="35" t="s">
        <v>973</v>
      </c>
      <c r="B843" s="148">
        <v>43050</v>
      </c>
      <c r="C843" s="147">
        <v>43190</v>
      </c>
      <c r="D843" s="96">
        <v>90</v>
      </c>
      <c r="E843" s="22">
        <v>18588.650000000001</v>
      </c>
      <c r="F843" s="22">
        <v>31989.5</v>
      </c>
      <c r="G843" s="22"/>
      <c r="H843" s="87">
        <f t="shared" ref="H843" si="87">F843+E843+G843</f>
        <v>50578.15</v>
      </c>
      <c r="I843" s="77">
        <f t="shared" si="85"/>
        <v>50578.15</v>
      </c>
      <c r="J843" s="119"/>
      <c r="K843" s="83"/>
      <c r="L843" s="155"/>
    </row>
    <row r="844" spans="1:12" s="82" customFormat="1" hidden="1" outlineLevel="1" x14ac:dyDescent="0.2">
      <c r="A844" s="133" t="s">
        <v>974</v>
      </c>
      <c r="B844" s="147">
        <v>43136</v>
      </c>
      <c r="C844" s="147"/>
      <c r="D844" s="96">
        <v>30</v>
      </c>
      <c r="E844" s="22">
        <v>0</v>
      </c>
      <c r="F844" s="22">
        <v>7809.05</v>
      </c>
      <c r="G844" s="22">
        <v>0</v>
      </c>
      <c r="H844" s="87">
        <f t="shared" si="84"/>
        <v>7809.05</v>
      </c>
      <c r="I844" s="87">
        <f t="shared" si="85"/>
        <v>7809.05</v>
      </c>
      <c r="J844" s="119"/>
      <c r="K844" s="83"/>
      <c r="L844" s="155"/>
    </row>
    <row r="845" spans="1:12" s="82" customFormat="1" ht="24" hidden="1" outlineLevel="1" x14ac:dyDescent="0.2">
      <c r="A845" s="133" t="s">
        <v>975</v>
      </c>
      <c r="B845" s="147">
        <v>42884</v>
      </c>
      <c r="C845" s="147"/>
      <c r="D845" s="96">
        <v>45</v>
      </c>
      <c r="E845" s="22">
        <v>0</v>
      </c>
      <c r="F845" s="22">
        <v>18467.46</v>
      </c>
      <c r="G845" s="22">
        <v>0</v>
      </c>
      <c r="H845" s="87">
        <f t="shared" si="84"/>
        <v>18467.46</v>
      </c>
      <c r="I845" s="87">
        <f t="shared" si="85"/>
        <v>18467.46</v>
      </c>
      <c r="J845" s="119"/>
      <c r="K845" s="83"/>
      <c r="L845" s="155"/>
    </row>
    <row r="846" spans="1:12" s="82" customFormat="1" ht="24" hidden="1" outlineLevel="1" x14ac:dyDescent="0.2">
      <c r="A846" s="133" t="s">
        <v>976</v>
      </c>
      <c r="B846" s="147">
        <v>42997</v>
      </c>
      <c r="C846" s="147">
        <v>43117</v>
      </c>
      <c r="D846" s="96">
        <v>90</v>
      </c>
      <c r="E846" s="22">
        <v>28535.46</v>
      </c>
      <c r="F846" s="22">
        <v>7357.82</v>
      </c>
      <c r="G846" s="22">
        <v>0</v>
      </c>
      <c r="H846" s="87">
        <f t="shared" si="84"/>
        <v>35893.279999999999</v>
      </c>
      <c r="I846" s="87">
        <f t="shared" si="85"/>
        <v>35893.279999999999</v>
      </c>
      <c r="J846" s="119"/>
      <c r="K846" s="83"/>
      <c r="L846" s="155"/>
    </row>
    <row r="847" spans="1:12" s="82" customFormat="1" hidden="1" outlineLevel="1" x14ac:dyDescent="0.2">
      <c r="A847" s="133" t="s">
        <v>977</v>
      </c>
      <c r="B847" s="147">
        <v>43098</v>
      </c>
      <c r="C847" s="147"/>
      <c r="D847" s="96">
        <v>60</v>
      </c>
      <c r="E847" s="22">
        <v>6922.98</v>
      </c>
      <c r="F847" s="22">
        <v>0</v>
      </c>
      <c r="G847" s="22">
        <v>0</v>
      </c>
      <c r="H847" s="87">
        <f t="shared" si="84"/>
        <v>6922.98</v>
      </c>
      <c r="I847" s="87">
        <f t="shared" si="85"/>
        <v>6922.98</v>
      </c>
      <c r="J847" s="119"/>
      <c r="K847" s="83"/>
      <c r="L847" s="155"/>
    </row>
    <row r="848" spans="1:12" s="82" customFormat="1" ht="24" hidden="1" outlineLevel="1" x14ac:dyDescent="0.2">
      <c r="A848" s="35" t="s">
        <v>978</v>
      </c>
      <c r="B848" s="148">
        <v>43040</v>
      </c>
      <c r="C848" s="147">
        <v>43190</v>
      </c>
      <c r="D848" s="96">
        <v>97</v>
      </c>
      <c r="E848" s="22">
        <v>35786.400000000001</v>
      </c>
      <c r="F848" s="22">
        <v>31154</v>
      </c>
      <c r="G848" s="22">
        <v>2982.24</v>
      </c>
      <c r="H848" s="87">
        <f t="shared" ref="H848" si="88">F848+E848+G848</f>
        <v>69922.64</v>
      </c>
      <c r="I848" s="77">
        <f t="shared" si="85"/>
        <v>69922.64</v>
      </c>
      <c r="J848" s="119"/>
      <c r="K848" s="83"/>
      <c r="L848" s="155"/>
    </row>
    <row r="849" spans="1:12" s="82" customFormat="1" ht="24" hidden="1" outlineLevel="1" x14ac:dyDescent="0.2">
      <c r="A849" s="133" t="s">
        <v>979</v>
      </c>
      <c r="B849" s="147">
        <v>43084</v>
      </c>
      <c r="C849" s="147"/>
      <c r="D849" s="96">
        <v>45</v>
      </c>
      <c r="E849" s="22">
        <v>0</v>
      </c>
      <c r="F849" s="22">
        <v>34322.61</v>
      </c>
      <c r="G849" s="22">
        <v>0</v>
      </c>
      <c r="H849" s="87">
        <f t="shared" si="84"/>
        <v>34322.61</v>
      </c>
      <c r="I849" s="87">
        <f t="shared" si="85"/>
        <v>34322.61</v>
      </c>
      <c r="J849" s="119"/>
      <c r="K849" s="83"/>
      <c r="L849" s="155"/>
    </row>
    <row r="850" spans="1:12" s="82" customFormat="1" hidden="1" outlineLevel="1" x14ac:dyDescent="0.2">
      <c r="A850" s="133" t="s">
        <v>980</v>
      </c>
      <c r="B850" s="147">
        <v>43136</v>
      </c>
      <c r="C850" s="147">
        <v>43200</v>
      </c>
      <c r="D850" s="96">
        <v>90</v>
      </c>
      <c r="E850" s="22">
        <v>32315.32</v>
      </c>
      <c r="F850" s="22">
        <v>11184.16</v>
      </c>
      <c r="G850" s="22">
        <v>0</v>
      </c>
      <c r="H850" s="87">
        <f t="shared" si="84"/>
        <v>43499.479999999996</v>
      </c>
      <c r="I850" s="87">
        <f t="shared" si="85"/>
        <v>43499.479999999996</v>
      </c>
      <c r="J850" s="119"/>
      <c r="K850" s="83"/>
      <c r="L850" s="155"/>
    </row>
    <row r="851" spans="1:12" s="82" customFormat="1" ht="24" hidden="1" outlineLevel="1" x14ac:dyDescent="0.2">
      <c r="A851" s="133" t="s">
        <v>981</v>
      </c>
      <c r="B851" s="147">
        <v>42761</v>
      </c>
      <c r="C851" s="147"/>
      <c r="D851" s="96">
        <v>70</v>
      </c>
      <c r="E851" s="22">
        <v>40678.15</v>
      </c>
      <c r="F851" s="22">
        <v>1633.94</v>
      </c>
      <c r="G851" s="22">
        <v>0</v>
      </c>
      <c r="H851" s="87">
        <f t="shared" si="84"/>
        <v>42312.090000000004</v>
      </c>
      <c r="I851" s="87">
        <f t="shared" si="85"/>
        <v>42312.090000000004</v>
      </c>
      <c r="J851" s="119"/>
      <c r="K851" s="83"/>
      <c r="L851" s="155"/>
    </row>
    <row r="852" spans="1:12" s="82" customFormat="1" ht="24" hidden="1" outlineLevel="1" x14ac:dyDescent="0.2">
      <c r="A852" s="35" t="s">
        <v>1107</v>
      </c>
      <c r="B852" s="148">
        <v>42745</v>
      </c>
      <c r="C852" s="147">
        <v>43190</v>
      </c>
      <c r="D852" s="96">
        <v>94</v>
      </c>
      <c r="E852" s="22">
        <v>10444.33</v>
      </c>
      <c r="F852" s="22">
        <v>44485.98</v>
      </c>
      <c r="G852" s="22"/>
      <c r="H852" s="87">
        <f t="shared" ref="H852" si="89">F852+E852+G852</f>
        <v>54930.310000000005</v>
      </c>
      <c r="I852" s="77">
        <f t="shared" si="85"/>
        <v>54930.310000000005</v>
      </c>
      <c r="J852" s="119"/>
      <c r="K852" s="83"/>
      <c r="L852" s="155"/>
    </row>
    <row r="853" spans="1:12" s="82" customFormat="1" ht="24" hidden="1" outlineLevel="1" x14ac:dyDescent="0.2">
      <c r="A853" s="133" t="s">
        <v>982</v>
      </c>
      <c r="B853" s="147">
        <v>42783</v>
      </c>
      <c r="C853" s="147">
        <v>43111</v>
      </c>
      <c r="D853" s="96">
        <v>80</v>
      </c>
      <c r="E853" s="22">
        <v>0</v>
      </c>
      <c r="F853" s="22">
        <v>6964.99</v>
      </c>
      <c r="G853" s="22">
        <v>0</v>
      </c>
      <c r="H853" s="87">
        <f t="shared" si="84"/>
        <v>6964.99</v>
      </c>
      <c r="I853" s="87">
        <f t="shared" si="85"/>
        <v>6964.99</v>
      </c>
      <c r="J853" s="119"/>
      <c r="K853" s="83"/>
      <c r="L853" s="155"/>
    </row>
    <row r="854" spans="1:12" s="82" customFormat="1" ht="24" hidden="1" outlineLevel="1" x14ac:dyDescent="0.2">
      <c r="A854" s="133" t="s">
        <v>983</v>
      </c>
      <c r="B854" s="147">
        <v>42915</v>
      </c>
      <c r="C854" s="147"/>
      <c r="D854" s="96">
        <v>40</v>
      </c>
      <c r="E854" s="22">
        <v>0</v>
      </c>
      <c r="F854" s="22">
        <v>2825.44</v>
      </c>
      <c r="G854" s="22">
        <v>0</v>
      </c>
      <c r="H854" s="87">
        <f t="shared" si="84"/>
        <v>2825.44</v>
      </c>
      <c r="I854" s="87">
        <f t="shared" si="85"/>
        <v>2825.44</v>
      </c>
      <c r="J854" s="119"/>
      <c r="K854" s="83"/>
      <c r="L854" s="155"/>
    </row>
    <row r="855" spans="1:12" s="82" customFormat="1" ht="24" hidden="1" outlineLevel="1" x14ac:dyDescent="0.2">
      <c r="A855" s="35" t="s">
        <v>984</v>
      </c>
      <c r="B855" s="148">
        <v>43091</v>
      </c>
      <c r="C855" s="147">
        <v>43465</v>
      </c>
      <c r="D855" s="96">
        <v>55</v>
      </c>
      <c r="E855" s="22">
        <v>6355</v>
      </c>
      <c r="F855" s="22">
        <v>27217.83</v>
      </c>
      <c r="G855" s="22"/>
      <c r="H855" s="87">
        <f t="shared" si="84"/>
        <v>33572.83</v>
      </c>
      <c r="I855" s="77">
        <f t="shared" si="85"/>
        <v>33572.83</v>
      </c>
      <c r="J855" s="119"/>
      <c r="K855" s="83"/>
      <c r="L855" s="155"/>
    </row>
    <row r="856" spans="1:12" s="82" customFormat="1" hidden="1" outlineLevel="1" x14ac:dyDescent="0.2">
      <c r="A856" s="133" t="s">
        <v>985</v>
      </c>
      <c r="B856" s="147">
        <v>43054</v>
      </c>
      <c r="C856" s="147"/>
      <c r="D856" s="96">
        <v>50</v>
      </c>
      <c r="E856" s="22">
        <v>0</v>
      </c>
      <c r="F856" s="22">
        <v>16374.2</v>
      </c>
      <c r="G856" s="22">
        <v>0</v>
      </c>
      <c r="H856" s="87">
        <f t="shared" si="84"/>
        <v>16374.2</v>
      </c>
      <c r="I856" s="87">
        <f t="shared" si="85"/>
        <v>16374.2</v>
      </c>
      <c r="J856" s="119"/>
      <c r="K856" s="83"/>
      <c r="L856" s="155"/>
    </row>
    <row r="857" spans="1:12" s="82" customFormat="1" ht="24" hidden="1" outlineLevel="1" x14ac:dyDescent="0.2">
      <c r="A857" s="133" t="s">
        <v>986</v>
      </c>
      <c r="B857" s="147">
        <v>42955</v>
      </c>
      <c r="C857" s="147"/>
      <c r="D857" s="96">
        <v>50</v>
      </c>
      <c r="E857" s="22">
        <v>0</v>
      </c>
      <c r="F857" s="22">
        <v>15830.55</v>
      </c>
      <c r="G857" s="22">
        <v>0</v>
      </c>
      <c r="H857" s="87">
        <f t="shared" si="84"/>
        <v>15830.55</v>
      </c>
      <c r="I857" s="87">
        <f t="shared" si="85"/>
        <v>15830.55</v>
      </c>
      <c r="J857" s="119"/>
      <c r="K857" s="83"/>
      <c r="L857" s="155"/>
    </row>
    <row r="858" spans="1:12" s="82" customFormat="1" ht="24" hidden="1" outlineLevel="1" x14ac:dyDescent="0.2">
      <c r="A858" s="133" t="s">
        <v>987</v>
      </c>
      <c r="B858" s="147">
        <v>42768</v>
      </c>
      <c r="C858" s="147"/>
      <c r="D858" s="96">
        <v>60</v>
      </c>
      <c r="E858" s="22">
        <v>76608.03</v>
      </c>
      <c r="F858" s="22">
        <v>17771.93</v>
      </c>
      <c r="G858" s="22">
        <v>0</v>
      </c>
      <c r="H858" s="87">
        <f t="shared" si="84"/>
        <v>94379.959999999992</v>
      </c>
      <c r="I858" s="87">
        <f t="shared" si="85"/>
        <v>94379.959999999992</v>
      </c>
      <c r="J858" s="119"/>
      <c r="K858" s="83"/>
      <c r="L858" s="155"/>
    </row>
    <row r="859" spans="1:12" s="82" customFormat="1" ht="24" hidden="1" outlineLevel="1" x14ac:dyDescent="0.2">
      <c r="A859" s="133" t="s">
        <v>988</v>
      </c>
      <c r="B859" s="147">
        <v>42761</v>
      </c>
      <c r="C859" s="147"/>
      <c r="D859" s="96">
        <v>60</v>
      </c>
      <c r="E859" s="22">
        <v>0</v>
      </c>
      <c r="F859" s="22">
        <v>11864.41</v>
      </c>
      <c r="G859" s="22">
        <v>0</v>
      </c>
      <c r="H859" s="87">
        <f t="shared" si="84"/>
        <v>11864.41</v>
      </c>
      <c r="I859" s="87">
        <f t="shared" si="85"/>
        <v>11864.41</v>
      </c>
      <c r="J859" s="119"/>
      <c r="K859" s="83"/>
      <c r="L859" s="155"/>
    </row>
    <row r="860" spans="1:12" s="82" customFormat="1" ht="24" hidden="1" outlineLevel="1" x14ac:dyDescent="0.2">
      <c r="A860" s="133" t="s">
        <v>989</v>
      </c>
      <c r="B860" s="147">
        <v>43070</v>
      </c>
      <c r="C860" s="147"/>
      <c r="D860" s="96">
        <v>65</v>
      </c>
      <c r="E860" s="22">
        <v>0</v>
      </c>
      <c r="F860" s="22">
        <v>9024.86</v>
      </c>
      <c r="G860" s="22">
        <v>0</v>
      </c>
      <c r="H860" s="87">
        <f t="shared" si="84"/>
        <v>9024.86</v>
      </c>
      <c r="I860" s="87">
        <f t="shared" si="85"/>
        <v>9024.86</v>
      </c>
      <c r="J860" s="119"/>
      <c r="K860" s="83"/>
      <c r="L860" s="155"/>
    </row>
    <row r="861" spans="1:12" s="82" customFormat="1" hidden="1" outlineLevel="1" x14ac:dyDescent="0.2">
      <c r="A861" s="133" t="s">
        <v>990</v>
      </c>
      <c r="B861" s="147">
        <v>42815</v>
      </c>
      <c r="C861" s="147"/>
      <c r="D861" s="96">
        <v>30</v>
      </c>
      <c r="E861" s="22">
        <v>0</v>
      </c>
      <c r="F861" s="22">
        <v>10677.51</v>
      </c>
      <c r="G861" s="22">
        <v>0</v>
      </c>
      <c r="H861" s="87">
        <f t="shared" si="84"/>
        <v>10677.51</v>
      </c>
      <c r="I861" s="87">
        <f t="shared" si="85"/>
        <v>10677.51</v>
      </c>
      <c r="J861" s="119"/>
      <c r="K861" s="83"/>
      <c r="L861" s="155"/>
    </row>
    <row r="862" spans="1:12" s="82" customFormat="1" ht="24" hidden="1" outlineLevel="1" x14ac:dyDescent="0.2">
      <c r="A862" s="35" t="s">
        <v>991</v>
      </c>
      <c r="B862" s="148">
        <v>42796</v>
      </c>
      <c r="C862" s="147">
        <v>43190</v>
      </c>
      <c r="D862" s="96">
        <v>91</v>
      </c>
      <c r="E862" s="22">
        <v>10444.33</v>
      </c>
      <c r="F862" s="22">
        <v>41528.129999999997</v>
      </c>
      <c r="G862" s="22"/>
      <c r="H862" s="87">
        <f t="shared" ref="H862" si="90">F862+E862+G862</f>
        <v>51972.46</v>
      </c>
      <c r="I862" s="77">
        <f t="shared" si="85"/>
        <v>51972.46</v>
      </c>
      <c r="J862" s="119"/>
      <c r="K862" s="83"/>
      <c r="L862" s="155"/>
    </row>
    <row r="863" spans="1:12" s="82" customFormat="1" ht="24" hidden="1" outlineLevel="1" x14ac:dyDescent="0.2">
      <c r="A863" s="133" t="s">
        <v>992</v>
      </c>
      <c r="B863" s="147">
        <v>42522</v>
      </c>
      <c r="C863" s="147"/>
      <c r="D863" s="96">
        <v>75</v>
      </c>
      <c r="E863" s="22">
        <v>0</v>
      </c>
      <c r="F863" s="22">
        <v>1178.83</v>
      </c>
      <c r="G863" s="22">
        <v>0</v>
      </c>
      <c r="H863" s="87">
        <f t="shared" si="84"/>
        <v>1178.83</v>
      </c>
      <c r="I863" s="87">
        <f t="shared" si="85"/>
        <v>1178.83</v>
      </c>
      <c r="J863" s="119"/>
      <c r="K863" s="83"/>
      <c r="L863" s="155"/>
    </row>
    <row r="864" spans="1:12" s="82" customFormat="1" ht="24" hidden="1" outlineLevel="1" x14ac:dyDescent="0.2">
      <c r="A864" s="133" t="s">
        <v>993</v>
      </c>
      <c r="B864" s="147"/>
      <c r="C864" s="147"/>
      <c r="D864" s="96"/>
      <c r="E864" s="22">
        <v>0</v>
      </c>
      <c r="F864" s="22">
        <v>11184.16</v>
      </c>
      <c r="G864" s="22">
        <v>0</v>
      </c>
      <c r="H864" s="87">
        <f t="shared" si="84"/>
        <v>11184.16</v>
      </c>
      <c r="I864" s="87">
        <f t="shared" si="85"/>
        <v>11184.16</v>
      </c>
      <c r="J864" s="119"/>
      <c r="K864" s="83"/>
      <c r="L864" s="155"/>
    </row>
    <row r="865" spans="1:12" s="82" customFormat="1" hidden="1" outlineLevel="1" x14ac:dyDescent="0.2">
      <c r="A865" s="133" t="s">
        <v>994</v>
      </c>
      <c r="B865" s="147">
        <v>43067</v>
      </c>
      <c r="C865" s="147"/>
      <c r="D865" s="96">
        <v>50</v>
      </c>
      <c r="E865" s="22">
        <v>39157.65</v>
      </c>
      <c r="F865" s="22">
        <v>10150.870000000001</v>
      </c>
      <c r="G865" s="22">
        <v>0</v>
      </c>
      <c r="H865" s="87">
        <f t="shared" si="84"/>
        <v>49308.520000000004</v>
      </c>
      <c r="I865" s="87">
        <f t="shared" si="85"/>
        <v>49308.520000000004</v>
      </c>
      <c r="J865" s="119"/>
      <c r="K865" s="83"/>
      <c r="L865" s="155"/>
    </row>
    <row r="866" spans="1:12" s="82" customFormat="1" hidden="1" outlineLevel="1" x14ac:dyDescent="0.2">
      <c r="A866" s="133" t="s">
        <v>995</v>
      </c>
      <c r="B866" s="147">
        <v>43069</v>
      </c>
      <c r="C866" s="147"/>
      <c r="D866" s="96">
        <v>50</v>
      </c>
      <c r="E866" s="22">
        <v>38642.51</v>
      </c>
      <c r="F866" s="22">
        <v>10150.870000000001</v>
      </c>
      <c r="G866" s="22">
        <v>0</v>
      </c>
      <c r="H866" s="87">
        <f t="shared" si="84"/>
        <v>48793.380000000005</v>
      </c>
      <c r="I866" s="87">
        <f t="shared" si="85"/>
        <v>48793.380000000005</v>
      </c>
      <c r="J866" s="119"/>
      <c r="K866" s="83"/>
      <c r="L866" s="155"/>
    </row>
    <row r="867" spans="1:12" s="82" customFormat="1" ht="24" hidden="1" outlineLevel="1" x14ac:dyDescent="0.2">
      <c r="A867" s="133" t="s">
        <v>996</v>
      </c>
      <c r="B867" s="147">
        <v>43089</v>
      </c>
      <c r="C867" s="147"/>
      <c r="D867" s="96">
        <v>60</v>
      </c>
      <c r="E867" s="22">
        <v>0</v>
      </c>
      <c r="F867" s="22">
        <v>10150.870000000001</v>
      </c>
      <c r="G867" s="22">
        <v>0</v>
      </c>
      <c r="H867" s="87">
        <f t="shared" si="84"/>
        <v>10150.870000000001</v>
      </c>
      <c r="I867" s="87">
        <f t="shared" si="85"/>
        <v>10150.870000000001</v>
      </c>
      <c r="J867" s="119"/>
      <c r="K867" s="83"/>
      <c r="L867" s="155"/>
    </row>
    <row r="868" spans="1:12" s="82" customFormat="1" hidden="1" outlineLevel="1" x14ac:dyDescent="0.2">
      <c r="A868" s="133" t="s">
        <v>997</v>
      </c>
      <c r="B868" s="147">
        <v>43060</v>
      </c>
      <c r="C868" s="147"/>
      <c r="D868" s="96">
        <v>50</v>
      </c>
      <c r="E868" s="22">
        <v>0</v>
      </c>
      <c r="F868" s="22">
        <v>9024.86</v>
      </c>
      <c r="G868" s="22">
        <v>0</v>
      </c>
      <c r="H868" s="87">
        <f t="shared" si="84"/>
        <v>9024.86</v>
      </c>
      <c r="I868" s="87">
        <f t="shared" si="85"/>
        <v>9024.86</v>
      </c>
      <c r="J868" s="119"/>
      <c r="K868" s="83"/>
      <c r="L868" s="155"/>
    </row>
    <row r="869" spans="1:12" s="82" customFormat="1" ht="24" hidden="1" outlineLevel="1" x14ac:dyDescent="0.2">
      <c r="A869" s="133" t="s">
        <v>998</v>
      </c>
      <c r="B869" s="147">
        <v>43042</v>
      </c>
      <c r="C869" s="147"/>
      <c r="D869" s="96">
        <v>50</v>
      </c>
      <c r="E869" s="22">
        <v>0</v>
      </c>
      <c r="F869" s="22">
        <v>63964.39</v>
      </c>
      <c r="G869" s="22">
        <v>0</v>
      </c>
      <c r="H869" s="87">
        <f t="shared" si="84"/>
        <v>63964.39</v>
      </c>
      <c r="I869" s="87">
        <f t="shared" si="85"/>
        <v>63964.39</v>
      </c>
      <c r="J869" s="119"/>
      <c r="K869" s="83"/>
      <c r="L869" s="155"/>
    </row>
    <row r="870" spans="1:12" s="82" customFormat="1" ht="24" hidden="1" outlineLevel="1" x14ac:dyDescent="0.2">
      <c r="A870" s="133" t="s">
        <v>999</v>
      </c>
      <c r="B870" s="147">
        <v>42976</v>
      </c>
      <c r="C870" s="147"/>
      <c r="D870" s="96">
        <v>30</v>
      </c>
      <c r="E870" s="22">
        <v>34839.300000000003</v>
      </c>
      <c r="F870" s="22">
        <v>54790.879999999997</v>
      </c>
      <c r="G870" s="22">
        <v>0</v>
      </c>
      <c r="H870" s="87">
        <f t="shared" si="84"/>
        <v>89630.18</v>
      </c>
      <c r="I870" s="87">
        <f t="shared" si="85"/>
        <v>89630.18</v>
      </c>
      <c r="J870" s="119"/>
      <c r="K870" s="83"/>
      <c r="L870" s="155"/>
    </row>
    <row r="871" spans="1:12" s="82" customFormat="1" hidden="1" outlineLevel="1" x14ac:dyDescent="0.2">
      <c r="A871" s="133" t="s">
        <v>1000</v>
      </c>
      <c r="B871" s="147">
        <v>43122</v>
      </c>
      <c r="C871" s="147"/>
      <c r="D871" s="96">
        <v>40</v>
      </c>
      <c r="E871" s="22">
        <v>0</v>
      </c>
      <c r="F871" s="22">
        <v>7682.25</v>
      </c>
      <c r="G871" s="22">
        <v>0</v>
      </c>
      <c r="H871" s="87">
        <f t="shared" si="84"/>
        <v>7682.25</v>
      </c>
      <c r="I871" s="87">
        <f t="shared" si="85"/>
        <v>7682.25</v>
      </c>
      <c r="J871" s="119"/>
      <c r="K871" s="83"/>
      <c r="L871" s="155"/>
    </row>
    <row r="872" spans="1:12" s="82" customFormat="1" ht="24" hidden="1" outlineLevel="1" x14ac:dyDescent="0.2">
      <c r="A872" s="35" t="s">
        <v>1001</v>
      </c>
      <c r="B872" s="148">
        <v>42908</v>
      </c>
      <c r="C872" s="147">
        <v>43465</v>
      </c>
      <c r="D872" s="96">
        <v>50</v>
      </c>
      <c r="E872" s="22">
        <f>44579.62+6355</f>
        <v>50934.62</v>
      </c>
      <c r="F872" s="22">
        <v>249948.12</v>
      </c>
      <c r="G872" s="22"/>
      <c r="H872" s="87">
        <f t="shared" ref="H872" si="91">F872+E872+G872</f>
        <v>300882.74</v>
      </c>
      <c r="I872" s="77">
        <f t="shared" si="85"/>
        <v>300882.74</v>
      </c>
      <c r="J872" s="119"/>
      <c r="K872" s="83"/>
      <c r="L872" s="155"/>
    </row>
    <row r="873" spans="1:12" s="82" customFormat="1" ht="24" hidden="1" outlineLevel="1" x14ac:dyDescent="0.2">
      <c r="A873" s="133" t="s">
        <v>1002</v>
      </c>
      <c r="B873" s="147">
        <v>43115</v>
      </c>
      <c r="C873" s="147"/>
      <c r="D873" s="96">
        <v>40</v>
      </c>
      <c r="E873" s="22">
        <v>0</v>
      </c>
      <c r="F873" s="22">
        <v>3305.36</v>
      </c>
      <c r="G873" s="22">
        <v>0</v>
      </c>
      <c r="H873" s="87">
        <f t="shared" si="84"/>
        <v>3305.36</v>
      </c>
      <c r="I873" s="87">
        <f t="shared" si="85"/>
        <v>3305.36</v>
      </c>
      <c r="J873" s="119"/>
      <c r="K873" s="83"/>
      <c r="L873" s="155"/>
    </row>
    <row r="874" spans="1:12" s="82" customFormat="1" ht="24" hidden="1" outlineLevel="1" x14ac:dyDescent="0.2">
      <c r="A874" s="133" t="s">
        <v>1003</v>
      </c>
      <c r="B874" s="147">
        <v>43129</v>
      </c>
      <c r="C874" s="147"/>
      <c r="D874" s="96">
        <v>40</v>
      </c>
      <c r="E874" s="22">
        <v>0</v>
      </c>
      <c r="F874" s="22">
        <v>3305.36</v>
      </c>
      <c r="G874" s="22">
        <v>0</v>
      </c>
      <c r="H874" s="87">
        <f t="shared" si="84"/>
        <v>3305.36</v>
      </c>
      <c r="I874" s="87">
        <f t="shared" si="85"/>
        <v>3305.36</v>
      </c>
      <c r="J874" s="119"/>
      <c r="K874" s="83"/>
      <c r="L874" s="155"/>
    </row>
    <row r="875" spans="1:12" s="82" customFormat="1" ht="24" hidden="1" outlineLevel="1" x14ac:dyDescent="0.2">
      <c r="A875" s="133" t="s">
        <v>1004</v>
      </c>
      <c r="B875" s="147">
        <v>43109</v>
      </c>
      <c r="C875" s="147"/>
      <c r="D875" s="96">
        <v>40</v>
      </c>
      <c r="E875" s="22">
        <v>0</v>
      </c>
      <c r="F875" s="22">
        <v>11021.18</v>
      </c>
      <c r="G875" s="22">
        <v>0</v>
      </c>
      <c r="H875" s="87">
        <f t="shared" si="84"/>
        <v>11021.18</v>
      </c>
      <c r="I875" s="87">
        <f t="shared" si="85"/>
        <v>11021.18</v>
      </c>
      <c r="J875" s="119"/>
      <c r="K875" s="83"/>
      <c r="L875" s="155"/>
    </row>
    <row r="876" spans="1:12" s="82" customFormat="1" ht="24" hidden="1" outlineLevel="1" x14ac:dyDescent="0.2">
      <c r="A876" s="133" t="s">
        <v>1005</v>
      </c>
      <c r="B876" s="147">
        <v>42972</v>
      </c>
      <c r="C876" s="147"/>
      <c r="D876" s="96">
        <v>30</v>
      </c>
      <c r="E876" s="22">
        <v>0</v>
      </c>
      <c r="F876" s="22">
        <v>6461.66</v>
      </c>
      <c r="G876" s="22">
        <v>0</v>
      </c>
      <c r="H876" s="87">
        <f t="shared" si="84"/>
        <v>6461.66</v>
      </c>
      <c r="I876" s="87">
        <f t="shared" si="85"/>
        <v>6461.66</v>
      </c>
      <c r="J876" s="119"/>
      <c r="K876" s="83"/>
      <c r="L876" s="155"/>
    </row>
    <row r="877" spans="1:12" s="82" customFormat="1" ht="24" hidden="1" outlineLevel="1" x14ac:dyDescent="0.2">
      <c r="A877" s="133" t="s">
        <v>1006</v>
      </c>
      <c r="B877" s="147">
        <v>43087</v>
      </c>
      <c r="C877" s="147">
        <v>43171</v>
      </c>
      <c r="D877" s="96">
        <v>90</v>
      </c>
      <c r="E877" s="22">
        <v>21622.11</v>
      </c>
      <c r="F877" s="22">
        <v>10228.34</v>
      </c>
      <c r="G877" s="22">
        <v>0</v>
      </c>
      <c r="H877" s="87">
        <f t="shared" si="84"/>
        <v>31850.45</v>
      </c>
      <c r="I877" s="87">
        <f t="shared" si="85"/>
        <v>31850.45</v>
      </c>
      <c r="J877" s="119"/>
      <c r="K877" s="83"/>
      <c r="L877" s="155"/>
    </row>
    <row r="878" spans="1:12" s="82" customFormat="1" ht="24" hidden="1" outlineLevel="1" x14ac:dyDescent="0.2">
      <c r="A878" s="133" t="s">
        <v>1007</v>
      </c>
      <c r="B878" s="147">
        <v>43053</v>
      </c>
      <c r="C878" s="147"/>
      <c r="D878" s="96">
        <v>60</v>
      </c>
      <c r="E878" s="22">
        <v>0</v>
      </c>
      <c r="F878" s="22">
        <v>2252.08</v>
      </c>
      <c r="G878" s="22">
        <v>0</v>
      </c>
      <c r="H878" s="87">
        <f t="shared" si="84"/>
        <v>2252.08</v>
      </c>
      <c r="I878" s="87">
        <f t="shared" si="85"/>
        <v>2252.08</v>
      </c>
      <c r="J878" s="119"/>
      <c r="K878" s="83"/>
      <c r="L878" s="155"/>
    </row>
    <row r="879" spans="1:12" s="82" customFormat="1" ht="24" hidden="1" outlineLevel="1" x14ac:dyDescent="0.2">
      <c r="A879" s="133" t="s">
        <v>1008</v>
      </c>
      <c r="B879" s="147"/>
      <c r="C879" s="147"/>
      <c r="D879" s="96"/>
      <c r="E879" s="22">
        <v>0</v>
      </c>
      <c r="F879" s="22">
        <v>6540.01</v>
      </c>
      <c r="G879" s="22">
        <v>0</v>
      </c>
      <c r="H879" s="87">
        <f t="shared" si="84"/>
        <v>6540.01</v>
      </c>
      <c r="I879" s="87">
        <f t="shared" si="85"/>
        <v>6540.01</v>
      </c>
      <c r="J879" s="119"/>
      <c r="K879" s="83"/>
      <c r="L879" s="155"/>
    </row>
    <row r="880" spans="1:12" s="82" customFormat="1" ht="24" hidden="1" outlineLevel="1" x14ac:dyDescent="0.2">
      <c r="A880" s="133" t="s">
        <v>1009</v>
      </c>
      <c r="B880" s="147">
        <v>43032</v>
      </c>
      <c r="C880" s="147"/>
      <c r="D880" s="96">
        <v>80</v>
      </c>
      <c r="E880" s="22">
        <v>0</v>
      </c>
      <c r="F880" s="22">
        <v>9175.06</v>
      </c>
      <c r="G880" s="22">
        <v>0</v>
      </c>
      <c r="H880" s="87">
        <f t="shared" si="84"/>
        <v>9175.06</v>
      </c>
      <c r="I880" s="87">
        <f t="shared" si="85"/>
        <v>9175.06</v>
      </c>
      <c r="J880" s="119"/>
      <c r="K880" s="83"/>
      <c r="L880" s="155"/>
    </row>
    <row r="881" spans="1:12" s="82" customFormat="1" ht="24" hidden="1" outlineLevel="1" x14ac:dyDescent="0.2">
      <c r="A881" s="133" t="s">
        <v>1010</v>
      </c>
      <c r="B881" s="147">
        <v>43034</v>
      </c>
      <c r="C881" s="147"/>
      <c r="D881" s="96">
        <v>70</v>
      </c>
      <c r="E881" s="22">
        <v>0</v>
      </c>
      <c r="F881" s="22">
        <v>6789.61</v>
      </c>
      <c r="G881" s="22">
        <v>0</v>
      </c>
      <c r="H881" s="87">
        <f t="shared" si="84"/>
        <v>6789.61</v>
      </c>
      <c r="I881" s="87">
        <f t="shared" si="85"/>
        <v>6789.61</v>
      </c>
      <c r="J881" s="119"/>
      <c r="K881" s="83"/>
      <c r="L881" s="155"/>
    </row>
    <row r="882" spans="1:12" s="82" customFormat="1" ht="24" hidden="1" outlineLevel="1" x14ac:dyDescent="0.2">
      <c r="A882" s="133" t="s">
        <v>1011</v>
      </c>
      <c r="B882" s="147">
        <v>42712</v>
      </c>
      <c r="C882" s="147"/>
      <c r="D882" s="96">
        <v>50</v>
      </c>
      <c r="E882" s="22">
        <v>0</v>
      </c>
      <c r="F882" s="22">
        <v>88635.6</v>
      </c>
      <c r="G882" s="22">
        <v>0</v>
      </c>
      <c r="H882" s="87">
        <f t="shared" si="84"/>
        <v>88635.6</v>
      </c>
      <c r="I882" s="87">
        <f t="shared" si="85"/>
        <v>88635.6</v>
      </c>
      <c r="J882" s="119"/>
      <c r="K882" s="83"/>
      <c r="L882" s="155"/>
    </row>
    <row r="883" spans="1:12" s="82" customFormat="1" ht="24" hidden="1" outlineLevel="1" x14ac:dyDescent="0.2">
      <c r="A883" s="35" t="s">
        <v>1012</v>
      </c>
      <c r="B883" s="148">
        <v>43069</v>
      </c>
      <c r="C883" s="147">
        <v>43465</v>
      </c>
      <c r="D883" s="96">
        <v>40</v>
      </c>
      <c r="E883" s="22">
        <v>14026.02</v>
      </c>
      <c r="F883" s="22"/>
      <c r="G883" s="22"/>
      <c r="H883" s="87">
        <f t="shared" ref="H883" si="92">F883+E883+G883</f>
        <v>14026.02</v>
      </c>
      <c r="I883" s="77">
        <f t="shared" si="85"/>
        <v>14026.02</v>
      </c>
      <c r="J883" s="119"/>
      <c r="K883" s="83"/>
      <c r="L883" s="155"/>
    </row>
    <row r="884" spans="1:12" s="82" customFormat="1" ht="24" hidden="1" outlineLevel="1" x14ac:dyDescent="0.2">
      <c r="A884" s="133" t="s">
        <v>1013</v>
      </c>
      <c r="B884" s="147">
        <v>42649</v>
      </c>
      <c r="C884" s="147"/>
      <c r="D884" s="96">
        <v>50</v>
      </c>
      <c r="E884" s="22">
        <v>0</v>
      </c>
      <c r="F884" s="22">
        <v>21091</v>
      </c>
      <c r="G884" s="22">
        <v>0</v>
      </c>
      <c r="H884" s="87">
        <f t="shared" si="84"/>
        <v>21091</v>
      </c>
      <c r="I884" s="87">
        <f t="shared" si="85"/>
        <v>21091</v>
      </c>
      <c r="J884" s="119"/>
      <c r="K884" s="83"/>
      <c r="L884" s="155"/>
    </row>
    <row r="885" spans="1:12" s="82" customFormat="1" hidden="1" outlineLevel="1" x14ac:dyDescent="0.2">
      <c r="A885" s="133" t="s">
        <v>1014</v>
      </c>
      <c r="B885" s="147">
        <v>43007</v>
      </c>
      <c r="C885" s="147"/>
      <c r="D885" s="96">
        <v>60</v>
      </c>
      <c r="E885" s="22">
        <v>0</v>
      </c>
      <c r="F885" s="22">
        <v>2825.44</v>
      </c>
      <c r="G885" s="22">
        <v>0</v>
      </c>
      <c r="H885" s="87">
        <f t="shared" si="84"/>
        <v>2825.44</v>
      </c>
      <c r="I885" s="87">
        <f t="shared" si="85"/>
        <v>2825.44</v>
      </c>
      <c r="J885" s="119"/>
      <c r="K885" s="83"/>
      <c r="L885" s="155"/>
    </row>
    <row r="886" spans="1:12" s="82" customFormat="1" hidden="1" outlineLevel="1" x14ac:dyDescent="0.2">
      <c r="A886" s="133" t="s">
        <v>1015</v>
      </c>
      <c r="B886" s="147">
        <v>43068</v>
      </c>
      <c r="C886" s="147"/>
      <c r="D886" s="96">
        <v>40</v>
      </c>
      <c r="E886" s="22">
        <v>0</v>
      </c>
      <c r="F886" s="22">
        <v>6540.01</v>
      </c>
      <c r="G886" s="22">
        <v>0</v>
      </c>
      <c r="H886" s="87">
        <f t="shared" si="84"/>
        <v>6540.01</v>
      </c>
      <c r="I886" s="87">
        <f t="shared" si="85"/>
        <v>6540.01</v>
      </c>
      <c r="J886" s="119"/>
      <c r="K886" s="83"/>
      <c r="L886" s="155"/>
    </row>
    <row r="887" spans="1:12" s="82" customFormat="1" hidden="1" outlineLevel="1" x14ac:dyDescent="0.2">
      <c r="A887" s="133" t="s">
        <v>1016</v>
      </c>
      <c r="B887" s="147">
        <v>43077</v>
      </c>
      <c r="C887" s="147"/>
      <c r="D887" s="96">
        <v>40</v>
      </c>
      <c r="E887" s="22">
        <v>0</v>
      </c>
      <c r="F887" s="22">
        <v>4683.8999999999996</v>
      </c>
      <c r="G887" s="22">
        <v>0</v>
      </c>
      <c r="H887" s="87">
        <f t="shared" si="84"/>
        <v>4683.8999999999996</v>
      </c>
      <c r="I887" s="87">
        <f t="shared" si="85"/>
        <v>4683.8999999999996</v>
      </c>
      <c r="J887" s="119"/>
      <c r="K887" s="83"/>
      <c r="L887" s="155"/>
    </row>
    <row r="888" spans="1:12" s="82" customFormat="1" hidden="1" outlineLevel="1" x14ac:dyDescent="0.2">
      <c r="A888" s="133" t="s">
        <v>1017</v>
      </c>
      <c r="B888" s="147">
        <v>43041</v>
      </c>
      <c r="C888" s="147"/>
      <c r="D888" s="96">
        <v>40</v>
      </c>
      <c r="E888" s="22">
        <v>36324.370000000003</v>
      </c>
      <c r="F888" s="22">
        <v>11652.97</v>
      </c>
      <c r="G888" s="22">
        <v>0</v>
      </c>
      <c r="H888" s="87">
        <f t="shared" si="84"/>
        <v>47977.340000000004</v>
      </c>
      <c r="I888" s="87">
        <f t="shared" si="85"/>
        <v>47977.340000000004</v>
      </c>
      <c r="J888" s="119"/>
      <c r="K888" s="83"/>
      <c r="L888" s="155"/>
    </row>
    <row r="889" spans="1:12" s="82" customFormat="1" ht="24" hidden="1" outlineLevel="1" x14ac:dyDescent="0.2">
      <c r="A889" s="35" t="s">
        <v>1108</v>
      </c>
      <c r="B889" s="148">
        <v>42781</v>
      </c>
      <c r="C889" s="147">
        <v>43465</v>
      </c>
      <c r="D889" s="96">
        <v>40</v>
      </c>
      <c r="E889" s="22">
        <v>17969.259999999998</v>
      </c>
      <c r="F889" s="22"/>
      <c r="G889" s="22"/>
      <c r="H889" s="87">
        <f t="shared" ref="H889" si="93">F889+E889+G889</f>
        <v>17969.259999999998</v>
      </c>
      <c r="I889" s="77">
        <f t="shared" si="85"/>
        <v>17969.259999999998</v>
      </c>
      <c r="J889" s="119"/>
      <c r="K889" s="83"/>
      <c r="L889" s="155"/>
    </row>
    <row r="890" spans="1:12" s="82" customFormat="1" hidden="1" outlineLevel="1" x14ac:dyDescent="0.2">
      <c r="A890" s="133" t="s">
        <v>1018</v>
      </c>
      <c r="B890" s="147">
        <v>43032</v>
      </c>
      <c r="C890" s="147"/>
      <c r="D890" s="96">
        <v>45</v>
      </c>
      <c r="E890" s="22">
        <v>0</v>
      </c>
      <c r="F890" s="22">
        <v>11669.42</v>
      </c>
      <c r="G890" s="22">
        <v>0</v>
      </c>
      <c r="H890" s="87">
        <f t="shared" si="84"/>
        <v>11669.42</v>
      </c>
      <c r="I890" s="87">
        <f t="shared" si="85"/>
        <v>11669.42</v>
      </c>
      <c r="J890" s="119"/>
      <c r="K890" s="83"/>
      <c r="L890" s="155"/>
    </row>
    <row r="891" spans="1:12" s="82" customFormat="1" hidden="1" outlineLevel="1" x14ac:dyDescent="0.2">
      <c r="A891" s="133" t="s">
        <v>1019</v>
      </c>
      <c r="B891" s="147">
        <v>43031</v>
      </c>
      <c r="C891" s="147"/>
      <c r="D891" s="96">
        <v>30</v>
      </c>
      <c r="E891" s="22">
        <v>0</v>
      </c>
      <c r="F891" s="22">
        <v>8680.09</v>
      </c>
      <c r="G891" s="22">
        <v>0</v>
      </c>
      <c r="H891" s="87">
        <f t="shared" si="84"/>
        <v>8680.09</v>
      </c>
      <c r="I891" s="87">
        <f t="shared" si="85"/>
        <v>8680.09</v>
      </c>
      <c r="J891" s="119"/>
      <c r="K891" s="83"/>
      <c r="L891" s="155"/>
    </row>
    <row r="892" spans="1:12" s="82" customFormat="1" ht="24" hidden="1" outlineLevel="1" x14ac:dyDescent="0.2">
      <c r="A892" s="133" t="s">
        <v>1020</v>
      </c>
      <c r="B892" s="147">
        <v>42688</v>
      </c>
      <c r="C892" s="147"/>
      <c r="D892" s="96">
        <v>30</v>
      </c>
      <c r="E892" s="22">
        <v>0</v>
      </c>
      <c r="F892" s="22">
        <v>8544.94</v>
      </c>
      <c r="G892" s="22">
        <v>0</v>
      </c>
      <c r="H892" s="87">
        <f t="shared" si="84"/>
        <v>8544.94</v>
      </c>
      <c r="I892" s="87">
        <f t="shared" si="85"/>
        <v>8544.94</v>
      </c>
      <c r="J892" s="119"/>
      <c r="K892" s="83"/>
      <c r="L892" s="155"/>
    </row>
    <row r="893" spans="1:12" s="82" customFormat="1" ht="24" hidden="1" outlineLevel="1" x14ac:dyDescent="0.2">
      <c r="A893" s="133" t="s">
        <v>1021</v>
      </c>
      <c r="B893" s="147">
        <v>42732</v>
      </c>
      <c r="C893" s="147">
        <v>43124</v>
      </c>
      <c r="D893" s="96">
        <v>90</v>
      </c>
      <c r="E893" s="22">
        <v>220713.66</v>
      </c>
      <c r="F893" s="22">
        <v>36308.9</v>
      </c>
      <c r="G893" s="22">
        <v>0</v>
      </c>
      <c r="H893" s="87">
        <f t="shared" si="84"/>
        <v>257022.56</v>
      </c>
      <c r="I893" s="87">
        <f t="shared" si="85"/>
        <v>257022.56</v>
      </c>
      <c r="J893" s="119"/>
      <c r="K893" s="83"/>
      <c r="L893" s="155"/>
    </row>
    <row r="894" spans="1:12" s="82" customFormat="1" ht="24" hidden="1" outlineLevel="1" x14ac:dyDescent="0.2">
      <c r="A894" s="133" t="s">
        <v>1022</v>
      </c>
      <c r="B894" s="147">
        <v>42970</v>
      </c>
      <c r="C894" s="147"/>
      <c r="D894" s="96">
        <v>40</v>
      </c>
      <c r="E894" s="22">
        <v>27433.79</v>
      </c>
      <c r="F894" s="22">
        <v>53713.74</v>
      </c>
      <c r="G894" s="22">
        <v>0</v>
      </c>
      <c r="H894" s="87">
        <f t="shared" si="84"/>
        <v>81147.53</v>
      </c>
      <c r="I894" s="87">
        <f t="shared" si="85"/>
        <v>81147.53</v>
      </c>
      <c r="J894" s="119"/>
      <c r="K894" s="83"/>
      <c r="L894" s="155"/>
    </row>
    <row r="895" spans="1:12" s="82" customFormat="1" ht="24" hidden="1" outlineLevel="1" x14ac:dyDescent="0.2">
      <c r="A895" s="133" t="s">
        <v>1023</v>
      </c>
      <c r="B895" s="147">
        <v>43032</v>
      </c>
      <c r="C895" s="147">
        <v>43117</v>
      </c>
      <c r="D895" s="96">
        <v>90</v>
      </c>
      <c r="E895" s="22">
        <v>90782.3</v>
      </c>
      <c r="F895" s="22">
        <v>56562.48</v>
      </c>
      <c r="G895" s="22">
        <v>0</v>
      </c>
      <c r="H895" s="87">
        <f t="shared" si="84"/>
        <v>147344.78</v>
      </c>
      <c r="I895" s="87">
        <f t="shared" si="85"/>
        <v>147344.78</v>
      </c>
      <c r="J895" s="119"/>
      <c r="K895" s="83"/>
      <c r="L895" s="155"/>
    </row>
    <row r="896" spans="1:12" s="82" customFormat="1" ht="24" hidden="1" outlineLevel="1" x14ac:dyDescent="0.2">
      <c r="A896" s="133" t="s">
        <v>1024</v>
      </c>
      <c r="B896" s="147">
        <v>43026</v>
      </c>
      <c r="C896" s="147">
        <v>43174</v>
      </c>
      <c r="D896" s="96">
        <v>90</v>
      </c>
      <c r="E896" s="22">
        <v>71436.78</v>
      </c>
      <c r="F896" s="22">
        <v>34540.89</v>
      </c>
      <c r="G896" s="22">
        <v>0</v>
      </c>
      <c r="H896" s="87">
        <f t="shared" si="84"/>
        <v>105977.67</v>
      </c>
      <c r="I896" s="87">
        <f t="shared" si="85"/>
        <v>105977.67</v>
      </c>
      <c r="J896" s="119"/>
      <c r="K896" s="83"/>
      <c r="L896" s="155"/>
    </row>
    <row r="897" spans="1:12" s="82" customFormat="1" ht="24" hidden="1" outlineLevel="1" x14ac:dyDescent="0.2">
      <c r="A897" s="35" t="s">
        <v>1109</v>
      </c>
      <c r="B897" s="148">
        <v>42440</v>
      </c>
      <c r="C897" s="147">
        <v>43465</v>
      </c>
      <c r="D897" s="96">
        <v>68</v>
      </c>
      <c r="E897" s="22"/>
      <c r="F897" s="22">
        <v>192699.69</v>
      </c>
      <c r="G897" s="22"/>
      <c r="H897" s="87">
        <f t="shared" ref="H897" si="94">F897+E897+G897</f>
        <v>192699.69</v>
      </c>
      <c r="I897" s="77">
        <f t="shared" si="85"/>
        <v>192699.69</v>
      </c>
      <c r="J897" s="31"/>
      <c r="K897" s="83"/>
      <c r="L897" s="155"/>
    </row>
    <row r="898" spans="1:12" s="82" customFormat="1" ht="24" hidden="1" outlineLevel="1" x14ac:dyDescent="0.2">
      <c r="A898" s="133" t="s">
        <v>1025</v>
      </c>
      <c r="B898" s="147">
        <v>42985</v>
      </c>
      <c r="C898" s="147"/>
      <c r="D898" s="96">
        <v>40</v>
      </c>
      <c r="E898" s="22">
        <v>0</v>
      </c>
      <c r="F898" s="22">
        <v>16401.330000000002</v>
      </c>
      <c r="G898" s="22">
        <v>0</v>
      </c>
      <c r="H898" s="87">
        <f t="shared" si="84"/>
        <v>16401.330000000002</v>
      </c>
      <c r="I898" s="87">
        <f t="shared" si="85"/>
        <v>16401.330000000002</v>
      </c>
      <c r="J898" s="119"/>
      <c r="K898" s="83"/>
      <c r="L898" s="155"/>
    </row>
    <row r="899" spans="1:12" s="82" customFormat="1" ht="24" hidden="1" outlineLevel="1" x14ac:dyDescent="0.2">
      <c r="A899" s="133" t="s">
        <v>1026</v>
      </c>
      <c r="B899" s="147">
        <v>42712</v>
      </c>
      <c r="C899" s="147">
        <v>43094</v>
      </c>
      <c r="D899" s="96">
        <v>90</v>
      </c>
      <c r="E899" s="22">
        <v>48209.62</v>
      </c>
      <c r="F899" s="22">
        <v>17276.04</v>
      </c>
      <c r="G899" s="22">
        <v>0</v>
      </c>
      <c r="H899" s="87">
        <f t="shared" si="84"/>
        <v>65485.66</v>
      </c>
      <c r="I899" s="87">
        <f t="shared" si="85"/>
        <v>65485.66</v>
      </c>
      <c r="J899" s="119"/>
      <c r="K899" s="83"/>
      <c r="L899" s="155"/>
    </row>
    <row r="900" spans="1:12" s="82" customFormat="1" hidden="1" outlineLevel="1" x14ac:dyDescent="0.2">
      <c r="A900" s="133" t="s">
        <v>1027</v>
      </c>
      <c r="B900" s="147">
        <v>43118</v>
      </c>
      <c r="C900" s="147"/>
      <c r="D900" s="96">
        <v>30</v>
      </c>
      <c r="E900" s="22">
        <v>0</v>
      </c>
      <c r="F900" s="22">
        <v>7809.05</v>
      </c>
      <c r="G900" s="22">
        <v>0</v>
      </c>
      <c r="H900" s="87">
        <f t="shared" ref="H900:H963" si="95">E900+F900+G900</f>
        <v>7809.05</v>
      </c>
      <c r="I900" s="87">
        <f t="shared" ref="I900:I963" si="96">H900</f>
        <v>7809.05</v>
      </c>
      <c r="J900" s="119"/>
      <c r="K900" s="83"/>
      <c r="L900" s="155"/>
    </row>
    <row r="901" spans="1:12" s="82" customFormat="1" ht="24" hidden="1" outlineLevel="1" x14ac:dyDescent="0.2">
      <c r="A901" s="133" t="s">
        <v>1028</v>
      </c>
      <c r="B901" s="147">
        <v>42494</v>
      </c>
      <c r="C901" s="147"/>
      <c r="D901" s="96">
        <v>50</v>
      </c>
      <c r="E901" s="22">
        <v>0</v>
      </c>
      <c r="F901" s="22">
        <v>6355</v>
      </c>
      <c r="G901" s="22">
        <v>0</v>
      </c>
      <c r="H901" s="87">
        <f t="shared" si="95"/>
        <v>6355</v>
      </c>
      <c r="I901" s="87">
        <f t="shared" si="96"/>
        <v>6355</v>
      </c>
      <c r="J901" s="119"/>
      <c r="K901" s="83"/>
      <c r="L901" s="155"/>
    </row>
    <row r="902" spans="1:12" s="82" customFormat="1" ht="24" hidden="1" outlineLevel="1" x14ac:dyDescent="0.2">
      <c r="A902" s="133" t="s">
        <v>1029</v>
      </c>
      <c r="B902" s="147">
        <v>43028</v>
      </c>
      <c r="C902" s="147"/>
      <c r="D902" s="96">
        <v>60</v>
      </c>
      <c r="E902" s="22">
        <v>0</v>
      </c>
      <c r="F902" s="22">
        <v>7067.09</v>
      </c>
      <c r="G902" s="22">
        <v>0</v>
      </c>
      <c r="H902" s="87">
        <f t="shared" si="95"/>
        <v>7067.09</v>
      </c>
      <c r="I902" s="87">
        <f t="shared" si="96"/>
        <v>7067.09</v>
      </c>
      <c r="J902" s="119"/>
      <c r="K902" s="83"/>
      <c r="L902" s="155"/>
    </row>
    <row r="903" spans="1:12" s="82" customFormat="1" hidden="1" outlineLevel="1" x14ac:dyDescent="0.2">
      <c r="A903" s="133" t="s">
        <v>1030</v>
      </c>
      <c r="B903" s="147">
        <v>43048</v>
      </c>
      <c r="C903" s="147"/>
      <c r="D903" s="96">
        <v>60</v>
      </c>
      <c r="E903" s="22">
        <v>0</v>
      </c>
      <c r="F903" s="22">
        <v>8792.09</v>
      </c>
      <c r="G903" s="22">
        <v>0</v>
      </c>
      <c r="H903" s="87">
        <f t="shared" si="95"/>
        <v>8792.09</v>
      </c>
      <c r="I903" s="87">
        <f t="shared" si="96"/>
        <v>8792.09</v>
      </c>
      <c r="J903" s="119"/>
      <c r="K903" s="83"/>
      <c r="L903" s="155"/>
    </row>
    <row r="904" spans="1:12" s="82" customFormat="1" ht="24" hidden="1" outlineLevel="1" x14ac:dyDescent="0.2">
      <c r="A904" s="35" t="s">
        <v>1031</v>
      </c>
      <c r="B904" s="148">
        <v>42828</v>
      </c>
      <c r="C904" s="147">
        <v>43190</v>
      </c>
      <c r="D904" s="96">
        <v>90</v>
      </c>
      <c r="E904" s="22">
        <f>1550.46+17553.33</f>
        <v>19103.79</v>
      </c>
      <c r="F904" s="22">
        <v>34181.01</v>
      </c>
      <c r="G904" s="22"/>
      <c r="H904" s="87">
        <f t="shared" ref="H904" si="97">F904+E904+G904</f>
        <v>53284.800000000003</v>
      </c>
      <c r="I904" s="77">
        <f t="shared" si="96"/>
        <v>53284.800000000003</v>
      </c>
      <c r="J904" s="119"/>
      <c r="K904" s="83"/>
      <c r="L904" s="155"/>
    </row>
    <row r="905" spans="1:12" s="82" customFormat="1" ht="24" hidden="1" outlineLevel="1" x14ac:dyDescent="0.2">
      <c r="A905" s="133" t="s">
        <v>1032</v>
      </c>
      <c r="B905" s="147">
        <v>43007</v>
      </c>
      <c r="C905" s="147"/>
      <c r="D905" s="96">
        <v>50</v>
      </c>
      <c r="E905" s="22">
        <v>22400</v>
      </c>
      <c r="F905" s="22">
        <v>17209.73</v>
      </c>
      <c r="G905" s="22">
        <v>0</v>
      </c>
      <c r="H905" s="87">
        <f t="shared" si="95"/>
        <v>39609.729999999996</v>
      </c>
      <c r="I905" s="87">
        <f t="shared" si="96"/>
        <v>39609.729999999996</v>
      </c>
      <c r="J905" s="119"/>
      <c r="K905" s="83"/>
      <c r="L905" s="155"/>
    </row>
    <row r="906" spans="1:12" s="82" customFormat="1" ht="24" hidden="1" outlineLevel="1" x14ac:dyDescent="0.2">
      <c r="A906" s="133" t="s">
        <v>1033</v>
      </c>
      <c r="B906" s="147">
        <v>42920</v>
      </c>
      <c r="C906" s="147"/>
      <c r="D906" s="96">
        <v>30</v>
      </c>
      <c r="E906" s="22">
        <v>0</v>
      </c>
      <c r="F906" s="22">
        <v>15642.1</v>
      </c>
      <c r="G906" s="22">
        <v>0</v>
      </c>
      <c r="H906" s="87">
        <f t="shared" si="95"/>
        <v>15642.1</v>
      </c>
      <c r="I906" s="87">
        <f t="shared" si="96"/>
        <v>15642.1</v>
      </c>
      <c r="J906" s="119"/>
      <c r="K906" s="83"/>
      <c r="L906" s="155"/>
    </row>
    <row r="907" spans="1:12" s="82" customFormat="1" ht="24" hidden="1" outlineLevel="1" x14ac:dyDescent="0.2">
      <c r="A907" s="133" t="s">
        <v>1034</v>
      </c>
      <c r="B907" s="147">
        <v>42761</v>
      </c>
      <c r="C907" s="147">
        <v>43174</v>
      </c>
      <c r="D907" s="96">
        <v>90</v>
      </c>
      <c r="E907" s="22">
        <v>20581.88</v>
      </c>
      <c r="F907" s="22">
        <v>24857.17</v>
      </c>
      <c r="G907" s="22">
        <v>0</v>
      </c>
      <c r="H907" s="87">
        <f t="shared" si="95"/>
        <v>45439.05</v>
      </c>
      <c r="I907" s="87">
        <f t="shared" si="96"/>
        <v>45439.05</v>
      </c>
      <c r="J907" s="119"/>
      <c r="K907" s="83"/>
      <c r="L907" s="155"/>
    </row>
    <row r="908" spans="1:12" s="82" customFormat="1" hidden="1" outlineLevel="1" x14ac:dyDescent="0.2">
      <c r="A908" s="133" t="s">
        <v>1035</v>
      </c>
      <c r="B908" s="147">
        <v>43011</v>
      </c>
      <c r="C908" s="147"/>
      <c r="D908" s="96">
        <v>30</v>
      </c>
      <c r="E908" s="22">
        <v>0</v>
      </c>
      <c r="F908" s="22">
        <v>25407.79</v>
      </c>
      <c r="G908" s="22">
        <v>0</v>
      </c>
      <c r="H908" s="87">
        <f t="shared" si="95"/>
        <v>25407.79</v>
      </c>
      <c r="I908" s="87">
        <f t="shared" si="96"/>
        <v>25407.79</v>
      </c>
      <c r="J908" s="119"/>
      <c r="K908" s="83"/>
      <c r="L908" s="155"/>
    </row>
    <row r="909" spans="1:12" s="82" customFormat="1" hidden="1" outlineLevel="1" x14ac:dyDescent="0.2">
      <c r="A909" s="133" t="s">
        <v>1036</v>
      </c>
      <c r="B909" s="147">
        <v>43138</v>
      </c>
      <c r="C909" s="147"/>
      <c r="D909" s="96">
        <v>40</v>
      </c>
      <c r="E909" s="22">
        <v>0</v>
      </c>
      <c r="F909" s="22">
        <v>3305.36</v>
      </c>
      <c r="G909" s="22">
        <v>0</v>
      </c>
      <c r="H909" s="87">
        <f t="shared" si="95"/>
        <v>3305.36</v>
      </c>
      <c r="I909" s="87">
        <f t="shared" si="96"/>
        <v>3305.36</v>
      </c>
      <c r="J909" s="119"/>
      <c r="K909" s="83"/>
      <c r="L909" s="155"/>
    </row>
    <row r="910" spans="1:12" s="82" customFormat="1" ht="24" hidden="1" outlineLevel="1" x14ac:dyDescent="0.2">
      <c r="A910" s="35" t="s">
        <v>1110</v>
      </c>
      <c r="B910" s="147">
        <v>42713</v>
      </c>
      <c r="C910" s="147">
        <v>43465</v>
      </c>
      <c r="D910" s="96">
        <v>40</v>
      </c>
      <c r="E910" s="22">
        <v>7085</v>
      </c>
      <c r="F910" s="22"/>
      <c r="G910" s="22"/>
      <c r="H910" s="87">
        <f t="shared" ref="H910" si="98">F910+E910+G910</f>
        <v>7085</v>
      </c>
      <c r="I910" s="77">
        <f t="shared" si="96"/>
        <v>7085</v>
      </c>
      <c r="J910" s="119"/>
      <c r="K910" s="83"/>
      <c r="L910" s="155"/>
    </row>
    <row r="911" spans="1:12" s="82" customFormat="1" ht="24" hidden="1" outlineLevel="1" x14ac:dyDescent="0.2">
      <c r="A911" s="133" t="s">
        <v>1037</v>
      </c>
      <c r="B911" s="147">
        <v>42676</v>
      </c>
      <c r="C911" s="147"/>
      <c r="D911" s="96">
        <v>50</v>
      </c>
      <c r="E911" s="22">
        <v>0</v>
      </c>
      <c r="F911" s="22">
        <v>10310.56</v>
      </c>
      <c r="G911" s="22">
        <v>0</v>
      </c>
      <c r="H911" s="87">
        <f t="shared" si="95"/>
        <v>10310.56</v>
      </c>
      <c r="I911" s="87">
        <f t="shared" si="96"/>
        <v>10310.56</v>
      </c>
      <c r="J911" s="119"/>
      <c r="K911" s="83"/>
      <c r="L911" s="155"/>
    </row>
    <row r="912" spans="1:12" s="82" customFormat="1" ht="24" hidden="1" outlineLevel="1" x14ac:dyDescent="0.2">
      <c r="A912" s="133" t="s">
        <v>1038</v>
      </c>
      <c r="B912" s="147"/>
      <c r="C912" s="147"/>
      <c r="D912" s="96"/>
      <c r="E912" s="22">
        <v>0</v>
      </c>
      <c r="F912" s="22">
        <v>14685.75</v>
      </c>
      <c r="G912" s="22">
        <v>0</v>
      </c>
      <c r="H912" s="87">
        <f t="shared" si="95"/>
        <v>14685.75</v>
      </c>
      <c r="I912" s="87">
        <f t="shared" si="96"/>
        <v>14685.75</v>
      </c>
      <c r="J912" s="119"/>
      <c r="K912" s="83"/>
      <c r="L912" s="155"/>
    </row>
    <row r="913" spans="1:12" s="82" customFormat="1" ht="24" hidden="1" outlineLevel="1" x14ac:dyDescent="0.2">
      <c r="A913" s="133" t="s">
        <v>1039</v>
      </c>
      <c r="B913" s="147">
        <v>42993</v>
      </c>
      <c r="C913" s="147">
        <v>43151</v>
      </c>
      <c r="D913" s="96">
        <v>90</v>
      </c>
      <c r="E913" s="22">
        <v>16555.87</v>
      </c>
      <c r="F913" s="22">
        <v>16697.009999999998</v>
      </c>
      <c r="G913" s="22">
        <v>0</v>
      </c>
      <c r="H913" s="87">
        <f t="shared" si="95"/>
        <v>33252.879999999997</v>
      </c>
      <c r="I913" s="87">
        <f t="shared" si="96"/>
        <v>33252.879999999997</v>
      </c>
      <c r="J913" s="119"/>
      <c r="K913" s="83"/>
      <c r="L913" s="155"/>
    </row>
    <row r="914" spans="1:12" s="82" customFormat="1" hidden="1" outlineLevel="1" x14ac:dyDescent="0.2">
      <c r="A914" s="133" t="s">
        <v>1040</v>
      </c>
      <c r="B914" s="147">
        <v>43004</v>
      </c>
      <c r="C914" s="147"/>
      <c r="D914" s="96">
        <v>50</v>
      </c>
      <c r="E914" s="22">
        <v>0</v>
      </c>
      <c r="F914" s="22">
        <v>2252.08</v>
      </c>
      <c r="G914" s="22">
        <v>0</v>
      </c>
      <c r="H914" s="87">
        <f t="shared" si="95"/>
        <v>2252.08</v>
      </c>
      <c r="I914" s="87">
        <f t="shared" si="96"/>
        <v>2252.08</v>
      </c>
      <c r="J914" s="119"/>
      <c r="K914" s="83"/>
      <c r="L914" s="155"/>
    </row>
    <row r="915" spans="1:12" s="82" customFormat="1" ht="24" hidden="1" outlineLevel="1" x14ac:dyDescent="0.2">
      <c r="A915" s="35" t="s">
        <v>1041</v>
      </c>
      <c r="B915" s="148">
        <v>42807</v>
      </c>
      <c r="C915" s="147">
        <v>43465</v>
      </c>
      <c r="D915" s="96">
        <v>40</v>
      </c>
      <c r="E915" s="22">
        <v>13129.14</v>
      </c>
      <c r="F915" s="22">
        <v>33262.730000000003</v>
      </c>
      <c r="G915" s="22">
        <v>39331.35</v>
      </c>
      <c r="H915" s="87">
        <f t="shared" ref="H915" si="99">F915+E915+G915</f>
        <v>85723.22</v>
      </c>
      <c r="I915" s="77">
        <f t="shared" si="96"/>
        <v>85723.22</v>
      </c>
      <c r="J915" s="119"/>
      <c r="K915" s="83"/>
      <c r="L915" s="155"/>
    </row>
    <row r="916" spans="1:12" s="82" customFormat="1" ht="24" hidden="1" outlineLevel="1" x14ac:dyDescent="0.2">
      <c r="A916" s="133" t="s">
        <v>1042</v>
      </c>
      <c r="B916" s="147"/>
      <c r="C916" s="147"/>
      <c r="D916" s="96"/>
      <c r="E916" s="22">
        <v>13024.2</v>
      </c>
      <c r="F916" s="22">
        <v>6573.06</v>
      </c>
      <c r="G916" s="22">
        <v>0</v>
      </c>
      <c r="H916" s="87">
        <f t="shared" si="95"/>
        <v>19597.260000000002</v>
      </c>
      <c r="I916" s="87">
        <f t="shared" si="96"/>
        <v>19597.260000000002</v>
      </c>
      <c r="J916" s="119"/>
      <c r="K916" s="83"/>
      <c r="L916" s="155"/>
    </row>
    <row r="917" spans="1:12" s="82" customFormat="1" ht="24" hidden="1" outlineLevel="1" x14ac:dyDescent="0.2">
      <c r="A917" s="133" t="s">
        <v>1043</v>
      </c>
      <c r="B917" s="147">
        <v>43038</v>
      </c>
      <c r="C917" s="147">
        <v>43133</v>
      </c>
      <c r="D917" s="96">
        <v>90</v>
      </c>
      <c r="E917" s="22">
        <v>0</v>
      </c>
      <c r="F917" s="22">
        <v>1633.94</v>
      </c>
      <c r="G917" s="22">
        <v>0</v>
      </c>
      <c r="H917" s="87">
        <f t="shared" si="95"/>
        <v>1633.94</v>
      </c>
      <c r="I917" s="87">
        <f t="shared" si="96"/>
        <v>1633.94</v>
      </c>
      <c r="J917" s="119"/>
      <c r="K917" s="83"/>
      <c r="L917" s="155"/>
    </row>
    <row r="918" spans="1:12" s="82" customFormat="1" ht="24" hidden="1" outlineLevel="1" x14ac:dyDescent="0.2">
      <c r="A918" s="35" t="s">
        <v>1111</v>
      </c>
      <c r="B918" s="148">
        <v>42807</v>
      </c>
      <c r="C918" s="147">
        <v>43465</v>
      </c>
      <c r="D918" s="96">
        <v>40</v>
      </c>
      <c r="E918" s="22">
        <v>40524.26</v>
      </c>
      <c r="F918" s="22"/>
      <c r="G918" s="22"/>
      <c r="H918" s="87">
        <f t="shared" ref="H918" si="100">F918+E918+G918</f>
        <v>40524.26</v>
      </c>
      <c r="I918" s="77">
        <f t="shared" si="96"/>
        <v>40524.26</v>
      </c>
      <c r="J918" s="119"/>
      <c r="K918" s="83"/>
      <c r="L918" s="155"/>
    </row>
    <row r="919" spans="1:12" s="82" customFormat="1" hidden="1" outlineLevel="1" x14ac:dyDescent="0.2">
      <c r="A919" s="133" t="s">
        <v>1044</v>
      </c>
      <c r="B919" s="147">
        <v>42978</v>
      </c>
      <c r="C919" s="147"/>
      <c r="D919" s="96">
        <v>30</v>
      </c>
      <c r="E919" s="22">
        <v>0</v>
      </c>
      <c r="F919" s="22">
        <v>2252.08</v>
      </c>
      <c r="G919" s="22">
        <v>0</v>
      </c>
      <c r="H919" s="87">
        <f t="shared" si="95"/>
        <v>2252.08</v>
      </c>
      <c r="I919" s="87">
        <f t="shared" si="96"/>
        <v>2252.08</v>
      </c>
      <c r="J919" s="119"/>
      <c r="K919" s="83"/>
      <c r="L919" s="155"/>
    </row>
    <row r="920" spans="1:12" s="82" customFormat="1" ht="24" hidden="1" outlineLevel="1" x14ac:dyDescent="0.2">
      <c r="A920" s="133" t="s">
        <v>1045</v>
      </c>
      <c r="B920" s="147">
        <v>42929</v>
      </c>
      <c r="C920" s="147"/>
      <c r="D920" s="96">
        <v>50</v>
      </c>
      <c r="E920" s="22">
        <v>0</v>
      </c>
      <c r="F920" s="22">
        <v>9180.44</v>
      </c>
      <c r="G920" s="22">
        <v>0</v>
      </c>
      <c r="H920" s="87">
        <f t="shared" si="95"/>
        <v>9180.44</v>
      </c>
      <c r="I920" s="87">
        <f t="shared" si="96"/>
        <v>9180.44</v>
      </c>
      <c r="J920" s="119"/>
      <c r="K920" s="83"/>
      <c r="L920" s="155"/>
    </row>
    <row r="921" spans="1:12" s="82" customFormat="1" ht="24" hidden="1" outlineLevel="1" x14ac:dyDescent="0.2">
      <c r="A921" s="35" t="s">
        <v>1046</v>
      </c>
      <c r="B921" s="148">
        <v>43068</v>
      </c>
      <c r="C921" s="147">
        <v>43465</v>
      </c>
      <c r="D921" s="96">
        <v>56</v>
      </c>
      <c r="E921" s="22">
        <v>21511.79</v>
      </c>
      <c r="F921" s="22">
        <v>66360.88</v>
      </c>
      <c r="G921" s="22"/>
      <c r="H921" s="87">
        <f t="shared" ref="H921" si="101">F921+E921+G921</f>
        <v>87872.670000000013</v>
      </c>
      <c r="I921" s="77">
        <f t="shared" si="96"/>
        <v>87872.670000000013</v>
      </c>
      <c r="J921" s="119"/>
      <c r="K921" s="83"/>
      <c r="L921" s="155"/>
    </row>
    <row r="922" spans="1:12" s="82" customFormat="1" ht="24" hidden="1" outlineLevel="1" x14ac:dyDescent="0.2">
      <c r="A922" s="133" t="s">
        <v>1047</v>
      </c>
      <c r="B922" s="147">
        <v>42975</v>
      </c>
      <c r="C922" s="147"/>
      <c r="D922" s="96">
        <v>40</v>
      </c>
      <c r="E922" s="22">
        <v>0</v>
      </c>
      <c r="F922" s="22">
        <v>13251.02</v>
      </c>
      <c r="G922" s="22">
        <v>0</v>
      </c>
      <c r="H922" s="87">
        <f t="shared" si="95"/>
        <v>13251.02</v>
      </c>
      <c r="I922" s="87">
        <f t="shared" si="96"/>
        <v>13251.02</v>
      </c>
      <c r="J922" s="119"/>
      <c r="K922" s="83"/>
      <c r="L922" s="155"/>
    </row>
    <row r="923" spans="1:12" s="82" customFormat="1" hidden="1" outlineLevel="1" x14ac:dyDescent="0.2">
      <c r="A923" s="133" t="s">
        <v>1048</v>
      </c>
      <c r="B923" s="147">
        <v>43144</v>
      </c>
      <c r="C923" s="147"/>
      <c r="D923" s="96">
        <v>30</v>
      </c>
      <c r="E923" s="22">
        <v>28840.31</v>
      </c>
      <c r="F923" s="22">
        <v>7832.83</v>
      </c>
      <c r="G923" s="22">
        <v>0</v>
      </c>
      <c r="H923" s="87">
        <f t="shared" si="95"/>
        <v>36673.14</v>
      </c>
      <c r="I923" s="87">
        <f t="shared" si="96"/>
        <v>36673.14</v>
      </c>
      <c r="J923" s="119"/>
      <c r="K923" s="83"/>
      <c r="L923" s="155"/>
    </row>
    <row r="924" spans="1:12" s="82" customFormat="1" ht="24" hidden="1" outlineLevel="1" x14ac:dyDescent="0.2">
      <c r="A924" s="133" t="s">
        <v>1049</v>
      </c>
      <c r="B924" s="147"/>
      <c r="C924" s="147"/>
      <c r="D924" s="96"/>
      <c r="E924" s="22">
        <v>23568.45</v>
      </c>
      <c r="F924" s="22">
        <v>4459.38</v>
      </c>
      <c r="G924" s="22">
        <v>0</v>
      </c>
      <c r="H924" s="87">
        <f t="shared" si="95"/>
        <v>28027.83</v>
      </c>
      <c r="I924" s="87">
        <f t="shared" si="96"/>
        <v>28027.83</v>
      </c>
      <c r="J924" s="119"/>
      <c r="K924" s="83"/>
      <c r="L924" s="155"/>
    </row>
    <row r="925" spans="1:12" s="82" customFormat="1" ht="24" hidden="1" outlineLevel="1" x14ac:dyDescent="0.2">
      <c r="A925" s="133" t="s">
        <v>1050</v>
      </c>
      <c r="B925" s="147">
        <v>43070</v>
      </c>
      <c r="C925" s="147"/>
      <c r="D925" s="96">
        <v>50</v>
      </c>
      <c r="E925" s="22">
        <v>41569.120000000003</v>
      </c>
      <c r="F925" s="22">
        <v>11652.97</v>
      </c>
      <c r="G925" s="22">
        <v>0</v>
      </c>
      <c r="H925" s="87">
        <f t="shared" si="95"/>
        <v>53222.090000000004</v>
      </c>
      <c r="I925" s="87">
        <f t="shared" si="96"/>
        <v>53222.090000000004</v>
      </c>
      <c r="J925" s="119"/>
      <c r="K925" s="83"/>
      <c r="L925" s="155"/>
    </row>
    <row r="926" spans="1:12" s="82" customFormat="1" ht="24" hidden="1" outlineLevel="1" x14ac:dyDescent="0.2">
      <c r="A926" s="133" t="s">
        <v>1051</v>
      </c>
      <c r="B926" s="147">
        <v>42976</v>
      </c>
      <c r="C926" s="147"/>
      <c r="D926" s="96">
        <v>50</v>
      </c>
      <c r="E926" s="22">
        <v>0</v>
      </c>
      <c r="F926" s="22">
        <v>13612.44</v>
      </c>
      <c r="G926" s="22">
        <v>0</v>
      </c>
      <c r="H926" s="87">
        <f t="shared" si="95"/>
        <v>13612.44</v>
      </c>
      <c r="I926" s="87">
        <f t="shared" si="96"/>
        <v>13612.44</v>
      </c>
      <c r="J926" s="119"/>
      <c r="K926" s="83"/>
      <c r="L926" s="155"/>
    </row>
    <row r="927" spans="1:12" s="82" customFormat="1" ht="24" hidden="1" outlineLevel="1" x14ac:dyDescent="0.2">
      <c r="A927" s="133" t="s">
        <v>1052</v>
      </c>
      <c r="B927" s="147">
        <v>42853</v>
      </c>
      <c r="C927" s="147">
        <v>42843</v>
      </c>
      <c r="D927" s="96">
        <v>90</v>
      </c>
      <c r="E927" s="22">
        <v>0</v>
      </c>
      <c r="F927" s="22">
        <v>5720.62</v>
      </c>
      <c r="G927" s="22">
        <v>0</v>
      </c>
      <c r="H927" s="87">
        <f t="shared" si="95"/>
        <v>5720.62</v>
      </c>
      <c r="I927" s="87">
        <f t="shared" si="96"/>
        <v>5720.62</v>
      </c>
      <c r="J927" s="119"/>
      <c r="K927" s="83"/>
      <c r="L927" s="155"/>
    </row>
    <row r="928" spans="1:12" s="82" customFormat="1" ht="24" hidden="1" outlineLevel="1" x14ac:dyDescent="0.2">
      <c r="A928" s="133" t="s">
        <v>1053</v>
      </c>
      <c r="B928" s="147">
        <v>42872</v>
      </c>
      <c r="C928" s="147"/>
      <c r="D928" s="96">
        <v>20</v>
      </c>
      <c r="E928" s="22">
        <v>0</v>
      </c>
      <c r="F928" s="22">
        <v>17427.48</v>
      </c>
      <c r="G928" s="22">
        <v>0</v>
      </c>
      <c r="H928" s="87">
        <f t="shared" si="95"/>
        <v>17427.48</v>
      </c>
      <c r="I928" s="87">
        <f t="shared" si="96"/>
        <v>17427.48</v>
      </c>
      <c r="J928" s="119"/>
      <c r="K928" s="83"/>
      <c r="L928" s="155"/>
    </row>
    <row r="929" spans="1:12" s="82" customFormat="1" ht="24" hidden="1" outlineLevel="1" x14ac:dyDescent="0.2">
      <c r="A929" s="35" t="s">
        <v>1112</v>
      </c>
      <c r="B929" s="147">
        <v>42696</v>
      </c>
      <c r="C929" s="147">
        <v>43465</v>
      </c>
      <c r="D929" s="96">
        <v>40</v>
      </c>
      <c r="E929" s="22">
        <v>10444.33</v>
      </c>
      <c r="F929" s="22"/>
      <c r="G929" s="22"/>
      <c r="H929" s="87">
        <f t="shared" ref="H929" si="102">F929+E929+G929</f>
        <v>10444.33</v>
      </c>
      <c r="I929" s="77">
        <f t="shared" si="96"/>
        <v>10444.33</v>
      </c>
      <c r="J929" s="119"/>
      <c r="K929" s="83"/>
      <c r="L929" s="155"/>
    </row>
    <row r="930" spans="1:12" s="82" customFormat="1" hidden="1" outlineLevel="1" x14ac:dyDescent="0.2">
      <c r="A930" s="133" t="s">
        <v>1054</v>
      </c>
      <c r="B930" s="147">
        <v>43046</v>
      </c>
      <c r="C930" s="147"/>
      <c r="D930" s="96">
        <v>40</v>
      </c>
      <c r="E930" s="22">
        <v>24985.68</v>
      </c>
      <c r="F930" s="22">
        <v>12895.01</v>
      </c>
      <c r="G930" s="22">
        <v>0</v>
      </c>
      <c r="H930" s="87">
        <f t="shared" si="95"/>
        <v>37880.69</v>
      </c>
      <c r="I930" s="87">
        <f t="shared" si="96"/>
        <v>37880.69</v>
      </c>
      <c r="J930" s="119"/>
      <c r="K930" s="83"/>
      <c r="L930" s="155"/>
    </row>
    <row r="931" spans="1:12" s="82" customFormat="1" hidden="1" outlineLevel="1" x14ac:dyDescent="0.2">
      <c r="A931" s="133" t="s">
        <v>1055</v>
      </c>
      <c r="B931" s="147">
        <v>43082</v>
      </c>
      <c r="C931" s="147"/>
      <c r="D931" s="96">
        <v>40</v>
      </c>
      <c r="E931" s="22">
        <v>0</v>
      </c>
      <c r="F931" s="22">
        <v>11779.5</v>
      </c>
      <c r="G931" s="22">
        <v>0</v>
      </c>
      <c r="H931" s="87">
        <f t="shared" si="95"/>
        <v>11779.5</v>
      </c>
      <c r="I931" s="87">
        <f t="shared" si="96"/>
        <v>11779.5</v>
      </c>
      <c r="J931" s="119"/>
      <c r="K931" s="83"/>
      <c r="L931" s="155"/>
    </row>
    <row r="932" spans="1:12" s="82" customFormat="1" ht="24" hidden="1" outlineLevel="1" x14ac:dyDescent="0.2">
      <c r="A932" s="133" t="s">
        <v>1056</v>
      </c>
      <c r="B932" s="147">
        <v>42408</v>
      </c>
      <c r="C932" s="147">
        <v>43000</v>
      </c>
      <c r="D932" s="96">
        <v>90</v>
      </c>
      <c r="E932" s="22">
        <v>0</v>
      </c>
      <c r="F932" s="22">
        <v>2825.44</v>
      </c>
      <c r="G932" s="22">
        <v>0</v>
      </c>
      <c r="H932" s="87">
        <f t="shared" si="95"/>
        <v>2825.44</v>
      </c>
      <c r="I932" s="87">
        <f t="shared" si="96"/>
        <v>2825.44</v>
      </c>
      <c r="J932" s="119"/>
      <c r="K932" s="83"/>
      <c r="L932" s="155"/>
    </row>
    <row r="933" spans="1:12" s="82" customFormat="1" ht="24" hidden="1" outlineLevel="1" x14ac:dyDescent="0.2">
      <c r="A933" s="133" t="s">
        <v>1057</v>
      </c>
      <c r="B933" s="147">
        <v>43024</v>
      </c>
      <c r="C933" s="147"/>
      <c r="D933" s="96">
        <v>40</v>
      </c>
      <c r="E933" s="22">
        <v>0</v>
      </c>
      <c r="F933" s="22">
        <v>17480.89</v>
      </c>
      <c r="G933" s="22">
        <v>0</v>
      </c>
      <c r="H933" s="87">
        <f t="shared" si="95"/>
        <v>17480.89</v>
      </c>
      <c r="I933" s="87">
        <f t="shared" si="96"/>
        <v>17480.89</v>
      </c>
      <c r="J933" s="119"/>
      <c r="K933" s="83"/>
      <c r="L933" s="155"/>
    </row>
    <row r="934" spans="1:12" s="82" customFormat="1" ht="24" hidden="1" outlineLevel="1" x14ac:dyDescent="0.2">
      <c r="A934" s="133" t="s">
        <v>1058</v>
      </c>
      <c r="B934" s="147">
        <v>42626</v>
      </c>
      <c r="C934" s="147"/>
      <c r="D934" s="96">
        <v>50</v>
      </c>
      <c r="E934" s="22">
        <v>0</v>
      </c>
      <c r="F934" s="22">
        <v>12871.4</v>
      </c>
      <c r="G934" s="22">
        <v>0</v>
      </c>
      <c r="H934" s="87">
        <f t="shared" si="95"/>
        <v>12871.4</v>
      </c>
      <c r="I934" s="87">
        <f t="shared" si="96"/>
        <v>12871.4</v>
      </c>
      <c r="J934" s="119"/>
      <c r="K934" s="83"/>
      <c r="L934" s="155"/>
    </row>
    <row r="935" spans="1:12" s="82" customFormat="1" hidden="1" outlineLevel="1" x14ac:dyDescent="0.2">
      <c r="A935" s="133" t="s">
        <v>1059</v>
      </c>
      <c r="B935" s="147">
        <v>43042</v>
      </c>
      <c r="C935" s="147"/>
      <c r="D935" s="96">
        <v>40</v>
      </c>
      <c r="E935" s="22">
        <v>0</v>
      </c>
      <c r="F935" s="22">
        <v>8792.09</v>
      </c>
      <c r="G935" s="22">
        <v>0</v>
      </c>
      <c r="H935" s="87">
        <f t="shared" si="95"/>
        <v>8792.09</v>
      </c>
      <c r="I935" s="87">
        <f t="shared" si="96"/>
        <v>8792.09</v>
      </c>
      <c r="J935" s="119"/>
      <c r="K935" s="83"/>
      <c r="L935" s="155"/>
    </row>
    <row r="936" spans="1:12" s="82" customFormat="1" ht="24" hidden="1" outlineLevel="1" x14ac:dyDescent="0.2">
      <c r="A936" s="133" t="s">
        <v>1060</v>
      </c>
      <c r="B936" s="147">
        <v>43031</v>
      </c>
      <c r="C936" s="147"/>
      <c r="D936" s="96">
        <v>40</v>
      </c>
      <c r="E936" s="22">
        <v>0</v>
      </c>
      <c r="F936" s="22">
        <v>11779.5</v>
      </c>
      <c r="G936" s="22">
        <v>0</v>
      </c>
      <c r="H936" s="87">
        <f t="shared" si="95"/>
        <v>11779.5</v>
      </c>
      <c r="I936" s="87">
        <f t="shared" si="96"/>
        <v>11779.5</v>
      </c>
      <c r="J936" s="119"/>
      <c r="K936" s="83"/>
      <c r="L936" s="155"/>
    </row>
    <row r="937" spans="1:12" s="82" customFormat="1" ht="24" hidden="1" outlineLevel="1" x14ac:dyDescent="0.2">
      <c r="A937" s="133" t="s">
        <v>1061</v>
      </c>
      <c r="B937" s="147">
        <v>42390</v>
      </c>
      <c r="C937" s="147"/>
      <c r="D937" s="96">
        <v>50</v>
      </c>
      <c r="E937" s="22">
        <v>128430.68</v>
      </c>
      <c r="F937" s="22">
        <v>8701.24</v>
      </c>
      <c r="G937" s="22">
        <v>0</v>
      </c>
      <c r="H937" s="87">
        <f t="shared" si="95"/>
        <v>137131.91999999998</v>
      </c>
      <c r="I937" s="87">
        <f t="shared" si="96"/>
        <v>137131.91999999998</v>
      </c>
      <c r="J937" s="119"/>
      <c r="K937" s="83"/>
      <c r="L937" s="155"/>
    </row>
    <row r="938" spans="1:12" s="82" customFormat="1" ht="24" hidden="1" outlineLevel="1" x14ac:dyDescent="0.2">
      <c r="A938" s="133" t="s">
        <v>1062</v>
      </c>
      <c r="B938" s="147">
        <v>42549</v>
      </c>
      <c r="C938" s="147"/>
      <c r="D938" s="96">
        <v>50</v>
      </c>
      <c r="E938" s="22">
        <v>0</v>
      </c>
      <c r="F938" s="22">
        <v>14301.56</v>
      </c>
      <c r="G938" s="22">
        <v>0</v>
      </c>
      <c r="H938" s="87">
        <f t="shared" si="95"/>
        <v>14301.56</v>
      </c>
      <c r="I938" s="87">
        <f t="shared" si="96"/>
        <v>14301.56</v>
      </c>
      <c r="J938" s="119"/>
      <c r="K938" s="83"/>
      <c r="L938" s="155"/>
    </row>
    <row r="939" spans="1:12" s="82" customFormat="1" ht="24" hidden="1" outlineLevel="1" x14ac:dyDescent="0.2">
      <c r="A939" s="35" t="s">
        <v>1063</v>
      </c>
      <c r="B939" s="148">
        <v>42642</v>
      </c>
      <c r="C939" s="147">
        <v>43190</v>
      </c>
      <c r="D939" s="96">
        <v>92</v>
      </c>
      <c r="E939" s="22">
        <f>16949.15+10444.33</f>
        <v>27393.480000000003</v>
      </c>
      <c r="F939" s="22">
        <v>182646.39999999999</v>
      </c>
      <c r="G939" s="22"/>
      <c r="H939" s="87">
        <f t="shared" ref="H939:H942" si="103">F939+E939+G939</f>
        <v>210039.88</v>
      </c>
      <c r="I939" s="77">
        <f t="shared" si="96"/>
        <v>210039.88</v>
      </c>
      <c r="J939" s="119"/>
      <c r="K939" s="83"/>
      <c r="L939" s="155"/>
    </row>
    <row r="940" spans="1:12" s="82" customFormat="1" ht="24" hidden="1" outlineLevel="1" x14ac:dyDescent="0.2">
      <c r="A940" s="35" t="s">
        <v>1113</v>
      </c>
      <c r="B940" s="147">
        <v>42605</v>
      </c>
      <c r="C940" s="147">
        <v>43465</v>
      </c>
      <c r="D940" s="96"/>
      <c r="E940" s="22">
        <v>60588</v>
      </c>
      <c r="F940" s="22">
        <v>147661.53</v>
      </c>
      <c r="G940" s="22"/>
      <c r="H940" s="87">
        <f t="shared" si="103"/>
        <v>208249.53</v>
      </c>
      <c r="I940" s="77">
        <f t="shared" si="96"/>
        <v>208249.53</v>
      </c>
      <c r="J940" s="119"/>
      <c r="K940" s="83"/>
      <c r="L940" s="155"/>
    </row>
    <row r="941" spans="1:12" s="82" customFormat="1" ht="24" hidden="1" outlineLevel="1" x14ac:dyDescent="0.2">
      <c r="A941" s="35" t="s">
        <v>1114</v>
      </c>
      <c r="B941" s="148">
        <v>42403</v>
      </c>
      <c r="C941" s="147">
        <v>43190</v>
      </c>
      <c r="D941" s="96">
        <v>93</v>
      </c>
      <c r="E941" s="22">
        <v>70990.429999999993</v>
      </c>
      <c r="F941" s="22">
        <v>252883.08</v>
      </c>
      <c r="G941" s="22"/>
      <c r="H941" s="87">
        <f t="shared" si="103"/>
        <v>323873.51</v>
      </c>
      <c r="I941" s="77">
        <f t="shared" si="96"/>
        <v>323873.51</v>
      </c>
      <c r="J941" s="119"/>
      <c r="K941" s="83"/>
      <c r="L941" s="155"/>
    </row>
    <row r="942" spans="1:12" s="82" customFormat="1" ht="24" hidden="1" outlineLevel="1" x14ac:dyDescent="0.2">
      <c r="A942" s="35" t="s">
        <v>1115</v>
      </c>
      <c r="B942" s="148">
        <v>42642</v>
      </c>
      <c r="C942" s="147">
        <v>43190</v>
      </c>
      <c r="D942" s="96">
        <v>95</v>
      </c>
      <c r="E942" s="22">
        <v>40017.730000000003</v>
      </c>
      <c r="F942" s="22">
        <v>272889.19</v>
      </c>
      <c r="G942" s="22"/>
      <c r="H942" s="87">
        <f t="shared" si="103"/>
        <v>312906.92</v>
      </c>
      <c r="I942" s="77">
        <f t="shared" si="96"/>
        <v>312906.92</v>
      </c>
      <c r="J942" s="119"/>
      <c r="K942" s="83"/>
      <c r="L942" s="155"/>
    </row>
    <row r="943" spans="1:12" s="82" customFormat="1" ht="24" hidden="1" outlineLevel="1" x14ac:dyDescent="0.2">
      <c r="A943" s="133" t="s">
        <v>1064</v>
      </c>
      <c r="B943" s="147">
        <v>42929</v>
      </c>
      <c r="C943" s="147"/>
      <c r="D943" s="96">
        <v>50</v>
      </c>
      <c r="E943" s="22">
        <v>52128.76</v>
      </c>
      <c r="F943" s="22">
        <v>16319.69</v>
      </c>
      <c r="G943" s="22">
        <v>0</v>
      </c>
      <c r="H943" s="87">
        <f t="shared" si="95"/>
        <v>68448.45</v>
      </c>
      <c r="I943" s="87">
        <f t="shared" si="96"/>
        <v>68448.45</v>
      </c>
      <c r="J943" s="119"/>
      <c r="K943" s="83"/>
      <c r="L943" s="155"/>
    </row>
    <row r="944" spans="1:12" s="82" customFormat="1" ht="24" hidden="1" outlineLevel="1" x14ac:dyDescent="0.2">
      <c r="A944" s="133" t="s">
        <v>1065</v>
      </c>
      <c r="B944" s="147">
        <v>42850</v>
      </c>
      <c r="C944" s="147">
        <v>43042</v>
      </c>
      <c r="D944" s="96">
        <v>90</v>
      </c>
      <c r="E944" s="22">
        <v>6355</v>
      </c>
      <c r="F944" s="22">
        <v>0</v>
      </c>
      <c r="G944" s="22">
        <v>0</v>
      </c>
      <c r="H944" s="87">
        <f t="shared" si="95"/>
        <v>6355</v>
      </c>
      <c r="I944" s="87">
        <f t="shared" si="96"/>
        <v>6355</v>
      </c>
      <c r="J944" s="119"/>
      <c r="K944" s="83"/>
      <c r="L944" s="155"/>
    </row>
    <row r="945" spans="1:12" s="82" customFormat="1" ht="24" hidden="1" outlineLevel="1" x14ac:dyDescent="0.2">
      <c r="A945" s="133" t="s">
        <v>1066</v>
      </c>
      <c r="B945" s="147">
        <v>43006</v>
      </c>
      <c r="C945" s="147"/>
      <c r="D945" s="96">
        <v>40</v>
      </c>
      <c r="E945" s="22">
        <v>0</v>
      </c>
      <c r="F945" s="22">
        <v>7715.82</v>
      </c>
      <c r="G945" s="22">
        <v>0</v>
      </c>
      <c r="H945" s="87">
        <f t="shared" si="95"/>
        <v>7715.82</v>
      </c>
      <c r="I945" s="87">
        <f t="shared" si="96"/>
        <v>7715.82</v>
      </c>
      <c r="J945" s="119"/>
      <c r="K945" s="83"/>
      <c r="L945" s="155"/>
    </row>
    <row r="946" spans="1:12" s="82" customFormat="1" ht="24" hidden="1" outlineLevel="1" x14ac:dyDescent="0.2">
      <c r="A946" s="133" t="s">
        <v>1067</v>
      </c>
      <c r="B946" s="147">
        <v>43028</v>
      </c>
      <c r="C946" s="147"/>
      <c r="D946" s="96">
        <v>40</v>
      </c>
      <c r="E946" s="22">
        <v>28484.91</v>
      </c>
      <c r="F946" s="22">
        <v>9767.02</v>
      </c>
      <c r="G946" s="22">
        <v>0</v>
      </c>
      <c r="H946" s="87">
        <f t="shared" si="95"/>
        <v>38251.93</v>
      </c>
      <c r="I946" s="87">
        <f t="shared" si="96"/>
        <v>38251.93</v>
      </c>
      <c r="J946" s="119"/>
      <c r="K946" s="83"/>
      <c r="L946" s="155"/>
    </row>
    <row r="947" spans="1:12" s="82" customFormat="1" ht="24" hidden="1" outlineLevel="1" x14ac:dyDescent="0.2">
      <c r="A947" s="35" t="s">
        <v>1116</v>
      </c>
      <c r="B947" s="148">
        <v>42807</v>
      </c>
      <c r="C947" s="147">
        <v>43465</v>
      </c>
      <c r="D947" s="96">
        <v>40</v>
      </c>
      <c r="E947" s="22">
        <v>10524.26</v>
      </c>
      <c r="F947" s="22"/>
      <c r="G947" s="22"/>
      <c r="H947" s="87">
        <f t="shared" ref="H947" si="104">F947+E947+G947</f>
        <v>10524.26</v>
      </c>
      <c r="I947" s="77">
        <f t="shared" si="96"/>
        <v>10524.26</v>
      </c>
      <c r="J947" s="119"/>
      <c r="K947" s="83"/>
      <c r="L947" s="155"/>
    </row>
    <row r="948" spans="1:12" s="82" customFormat="1" ht="24" hidden="1" outlineLevel="1" x14ac:dyDescent="0.2">
      <c r="A948" s="133" t="s">
        <v>1068</v>
      </c>
      <c r="B948" s="147">
        <v>42993</v>
      </c>
      <c r="C948" s="147"/>
      <c r="D948" s="96">
        <v>30</v>
      </c>
      <c r="E948" s="22">
        <v>84593.77</v>
      </c>
      <c r="F948" s="22">
        <v>19165.21</v>
      </c>
      <c r="G948" s="22">
        <v>0</v>
      </c>
      <c r="H948" s="87">
        <f t="shared" si="95"/>
        <v>103758.98000000001</v>
      </c>
      <c r="I948" s="87">
        <f t="shared" si="96"/>
        <v>103758.98000000001</v>
      </c>
      <c r="J948" s="119"/>
      <c r="K948" s="83"/>
      <c r="L948" s="155"/>
    </row>
    <row r="949" spans="1:12" s="82" customFormat="1" hidden="1" outlineLevel="1" x14ac:dyDescent="0.2">
      <c r="A949" s="133" t="s">
        <v>1069</v>
      </c>
      <c r="B949" s="147">
        <v>43060</v>
      </c>
      <c r="C949" s="147"/>
      <c r="D949" s="96">
        <v>50</v>
      </c>
      <c r="E949" s="22">
        <v>0</v>
      </c>
      <c r="F949" s="22">
        <v>5719.5</v>
      </c>
      <c r="G949" s="22">
        <v>0</v>
      </c>
      <c r="H949" s="87">
        <f t="shared" si="95"/>
        <v>5719.5</v>
      </c>
      <c r="I949" s="87">
        <f t="shared" si="96"/>
        <v>5719.5</v>
      </c>
      <c r="J949" s="119"/>
      <c r="K949" s="83"/>
      <c r="L949" s="155"/>
    </row>
    <row r="950" spans="1:12" s="82" customFormat="1" ht="24" hidden="1" outlineLevel="1" x14ac:dyDescent="0.2">
      <c r="A950" s="133" t="s">
        <v>1070</v>
      </c>
      <c r="B950" s="147">
        <v>43033</v>
      </c>
      <c r="C950" s="147"/>
      <c r="D950" s="96">
        <v>40</v>
      </c>
      <c r="E950" s="22">
        <v>0</v>
      </c>
      <c r="F950" s="22">
        <v>12006.44</v>
      </c>
      <c r="G950" s="22">
        <v>0</v>
      </c>
      <c r="H950" s="87">
        <f t="shared" si="95"/>
        <v>12006.44</v>
      </c>
      <c r="I950" s="87">
        <f t="shared" si="96"/>
        <v>12006.44</v>
      </c>
      <c r="J950" s="119"/>
      <c r="K950" s="83"/>
      <c r="L950" s="40"/>
    </row>
    <row r="951" spans="1:12" s="82" customFormat="1" hidden="1" outlineLevel="1" x14ac:dyDescent="0.2">
      <c r="A951" s="133" t="s">
        <v>1071</v>
      </c>
      <c r="B951" s="147">
        <v>42936</v>
      </c>
      <c r="C951" s="147"/>
      <c r="D951" s="96">
        <v>40</v>
      </c>
      <c r="E951" s="22">
        <v>0</v>
      </c>
      <c r="F951" s="22">
        <v>15193.36</v>
      </c>
      <c r="G951" s="22">
        <v>0</v>
      </c>
      <c r="H951" s="87">
        <f t="shared" si="95"/>
        <v>15193.36</v>
      </c>
      <c r="I951" s="87">
        <f t="shared" si="96"/>
        <v>15193.36</v>
      </c>
      <c r="J951" s="119"/>
      <c r="K951" s="83"/>
      <c r="L951" s="40"/>
    </row>
    <row r="952" spans="1:12" s="82" customFormat="1" hidden="1" outlineLevel="1" x14ac:dyDescent="0.2">
      <c r="A952" s="133" t="s">
        <v>1072</v>
      </c>
      <c r="B952" s="147">
        <v>43040</v>
      </c>
      <c r="C952" s="147"/>
      <c r="D952" s="96">
        <v>70</v>
      </c>
      <c r="E952" s="22">
        <v>0</v>
      </c>
      <c r="F952" s="22">
        <v>7010.58</v>
      </c>
      <c r="G952" s="22">
        <v>0</v>
      </c>
      <c r="H952" s="87">
        <f t="shared" si="95"/>
        <v>7010.58</v>
      </c>
      <c r="I952" s="87">
        <f t="shared" si="96"/>
        <v>7010.58</v>
      </c>
      <c r="J952" s="119"/>
      <c r="K952" s="83"/>
      <c r="L952" s="40"/>
    </row>
    <row r="953" spans="1:12" s="82" customFormat="1" hidden="1" outlineLevel="1" x14ac:dyDescent="0.2">
      <c r="A953" s="133" t="s">
        <v>1073</v>
      </c>
      <c r="B953" s="147">
        <v>43021</v>
      </c>
      <c r="C953" s="147">
        <v>43147</v>
      </c>
      <c r="D953" s="96">
        <v>90</v>
      </c>
      <c r="E953" s="22">
        <v>0</v>
      </c>
      <c r="F953" s="22">
        <v>7010.58</v>
      </c>
      <c r="G953" s="22">
        <v>0</v>
      </c>
      <c r="H953" s="87">
        <f t="shared" si="95"/>
        <v>7010.58</v>
      </c>
      <c r="I953" s="87">
        <f t="shared" si="96"/>
        <v>7010.58</v>
      </c>
      <c r="J953" s="119"/>
      <c r="K953" s="83"/>
      <c r="L953" s="40"/>
    </row>
    <row r="954" spans="1:12" s="82" customFormat="1" hidden="1" outlineLevel="1" x14ac:dyDescent="0.2">
      <c r="A954" s="133" t="s">
        <v>1074</v>
      </c>
      <c r="B954" s="147">
        <v>43019</v>
      </c>
      <c r="C954" s="147"/>
      <c r="D954" s="96">
        <v>40</v>
      </c>
      <c r="E954" s="22">
        <v>0</v>
      </c>
      <c r="F954" s="22">
        <v>9100.83</v>
      </c>
      <c r="G954" s="22">
        <v>0</v>
      </c>
      <c r="H954" s="87">
        <f t="shared" si="95"/>
        <v>9100.83</v>
      </c>
      <c r="I954" s="87">
        <f t="shared" si="96"/>
        <v>9100.83</v>
      </c>
      <c r="J954" s="119"/>
      <c r="K954" s="83"/>
      <c r="L954" s="40"/>
    </row>
    <row r="955" spans="1:12" s="82" customFormat="1" ht="24" hidden="1" outlineLevel="1" x14ac:dyDescent="0.2">
      <c r="A955" s="133" t="s">
        <v>1075</v>
      </c>
      <c r="B955" s="147"/>
      <c r="C955" s="147"/>
      <c r="D955" s="96"/>
      <c r="E955" s="22">
        <v>0</v>
      </c>
      <c r="F955" s="22">
        <v>9287.1</v>
      </c>
      <c r="G955" s="22">
        <v>0</v>
      </c>
      <c r="H955" s="87">
        <f t="shared" si="95"/>
        <v>9287.1</v>
      </c>
      <c r="I955" s="87">
        <f t="shared" si="96"/>
        <v>9287.1</v>
      </c>
      <c r="J955" s="119"/>
      <c r="K955" s="83"/>
      <c r="L955" s="40"/>
    </row>
    <row r="956" spans="1:12" s="82" customFormat="1" ht="24" hidden="1" outlineLevel="1" x14ac:dyDescent="0.2">
      <c r="A956" s="133" t="s">
        <v>1076</v>
      </c>
      <c r="B956" s="147">
        <v>42510</v>
      </c>
      <c r="C956" s="147"/>
      <c r="D956" s="96">
        <v>50</v>
      </c>
      <c r="E956" s="22">
        <v>0</v>
      </c>
      <c r="F956" s="22">
        <v>13505.78</v>
      </c>
      <c r="G956" s="22">
        <v>0</v>
      </c>
      <c r="H956" s="87">
        <f t="shared" si="95"/>
        <v>13505.78</v>
      </c>
      <c r="I956" s="87">
        <f t="shared" si="96"/>
        <v>13505.78</v>
      </c>
      <c r="J956" s="119"/>
      <c r="K956" s="83"/>
      <c r="L956" s="40"/>
    </row>
    <row r="957" spans="1:12" s="82" customFormat="1" ht="24" hidden="1" outlineLevel="1" x14ac:dyDescent="0.2">
      <c r="A957" s="133" t="s">
        <v>1077</v>
      </c>
      <c r="B957" s="147">
        <v>42692</v>
      </c>
      <c r="C957" s="147"/>
      <c r="D957" s="96">
        <v>50</v>
      </c>
      <c r="E957" s="22">
        <v>0</v>
      </c>
      <c r="F957" s="22">
        <v>66898.33</v>
      </c>
      <c r="G957" s="22">
        <v>0</v>
      </c>
      <c r="H957" s="87">
        <f t="shared" si="95"/>
        <v>66898.33</v>
      </c>
      <c r="I957" s="87">
        <f t="shared" si="96"/>
        <v>66898.33</v>
      </c>
      <c r="J957" s="119"/>
      <c r="K957" s="83"/>
      <c r="L957" s="40"/>
    </row>
    <row r="958" spans="1:12" s="82" customFormat="1" ht="24" hidden="1" outlineLevel="1" x14ac:dyDescent="0.2">
      <c r="A958" s="35" t="s">
        <v>1078</v>
      </c>
      <c r="B958" s="148">
        <v>42780</v>
      </c>
      <c r="C958" s="147">
        <v>43465</v>
      </c>
      <c r="D958" s="96">
        <v>40</v>
      </c>
      <c r="E958" s="22">
        <v>75945.710000000006</v>
      </c>
      <c r="F958" s="22">
        <v>113339.03</v>
      </c>
      <c r="G958" s="22">
        <v>305882.27</v>
      </c>
      <c r="H958" s="87">
        <f t="shared" ref="H958" si="105">F958+E958+G958</f>
        <v>495167.01</v>
      </c>
      <c r="I958" s="77">
        <f t="shared" si="96"/>
        <v>495167.01</v>
      </c>
      <c r="J958" s="119"/>
      <c r="K958" s="83"/>
      <c r="L958" s="40"/>
    </row>
    <row r="959" spans="1:12" s="82" customFormat="1" ht="24" hidden="1" outlineLevel="1" x14ac:dyDescent="0.2">
      <c r="A959" s="133" t="s">
        <v>1079</v>
      </c>
      <c r="B959" s="147">
        <v>42684</v>
      </c>
      <c r="C959" s="147"/>
      <c r="D959" s="96">
        <v>50</v>
      </c>
      <c r="E959" s="22">
        <v>58454.93</v>
      </c>
      <c r="F959" s="22">
        <v>16727.45</v>
      </c>
      <c r="G959" s="22">
        <v>0</v>
      </c>
      <c r="H959" s="87">
        <f t="shared" si="95"/>
        <v>75182.38</v>
      </c>
      <c r="I959" s="87">
        <f t="shared" si="96"/>
        <v>75182.38</v>
      </c>
      <c r="J959" s="119"/>
      <c r="K959" s="83"/>
      <c r="L959" s="40"/>
    </row>
    <row r="960" spans="1:12" s="82" customFormat="1" ht="24" hidden="1" outlineLevel="1" x14ac:dyDescent="0.2">
      <c r="A960" s="133" t="s">
        <v>1080</v>
      </c>
      <c r="B960" s="147">
        <v>43111</v>
      </c>
      <c r="C960" s="147"/>
      <c r="D960" s="96">
        <v>30</v>
      </c>
      <c r="E960" s="22">
        <v>0</v>
      </c>
      <c r="F960" s="22">
        <v>21452.33</v>
      </c>
      <c r="G960" s="22">
        <v>0</v>
      </c>
      <c r="H960" s="87">
        <f t="shared" si="95"/>
        <v>21452.33</v>
      </c>
      <c r="I960" s="87">
        <f t="shared" si="96"/>
        <v>21452.33</v>
      </c>
      <c r="J960" s="119"/>
      <c r="K960" s="83"/>
      <c r="L960" s="40"/>
    </row>
    <row r="961" spans="1:12" s="82" customFormat="1" ht="24" hidden="1" outlineLevel="1" x14ac:dyDescent="0.2">
      <c r="A961" s="133" t="s">
        <v>1081</v>
      </c>
      <c r="B961" s="147">
        <v>43012</v>
      </c>
      <c r="C961" s="147"/>
      <c r="D961" s="96">
        <v>30</v>
      </c>
      <c r="E961" s="22">
        <v>0</v>
      </c>
      <c r="F961" s="22">
        <v>11323.44</v>
      </c>
      <c r="G961" s="22">
        <v>0</v>
      </c>
      <c r="H961" s="87">
        <f t="shared" si="95"/>
        <v>11323.44</v>
      </c>
      <c r="I961" s="87">
        <f t="shared" si="96"/>
        <v>11323.44</v>
      </c>
      <c r="J961" s="119"/>
      <c r="K961" s="83"/>
      <c r="L961" s="40"/>
    </row>
    <row r="962" spans="1:12" s="82" customFormat="1" ht="24" hidden="1" outlineLevel="1" x14ac:dyDescent="0.2">
      <c r="A962" s="133" t="s">
        <v>1082</v>
      </c>
      <c r="B962" s="147">
        <v>42668</v>
      </c>
      <c r="C962" s="147"/>
      <c r="D962" s="96">
        <v>30</v>
      </c>
      <c r="E962" s="22">
        <v>0</v>
      </c>
      <c r="F962" s="22">
        <v>20870.47</v>
      </c>
      <c r="G962" s="22">
        <v>0</v>
      </c>
      <c r="H962" s="87">
        <f t="shared" si="95"/>
        <v>20870.47</v>
      </c>
      <c r="I962" s="87">
        <f t="shared" si="96"/>
        <v>20870.47</v>
      </c>
      <c r="J962" s="119"/>
      <c r="K962" s="83"/>
      <c r="L962" s="40"/>
    </row>
    <row r="963" spans="1:12" s="82" customFormat="1" ht="24" hidden="1" outlineLevel="1" x14ac:dyDescent="0.2">
      <c r="A963" s="133" t="s">
        <v>1084</v>
      </c>
      <c r="B963" s="147">
        <v>43084</v>
      </c>
      <c r="C963" s="147">
        <v>43187</v>
      </c>
      <c r="D963" s="96">
        <v>90</v>
      </c>
      <c r="E963" s="22">
        <v>0</v>
      </c>
      <c r="F963" s="22">
        <v>2252.08</v>
      </c>
      <c r="G963" s="22">
        <v>0</v>
      </c>
      <c r="H963" s="87">
        <f t="shared" si="95"/>
        <v>2252.08</v>
      </c>
      <c r="I963" s="87">
        <f t="shared" si="96"/>
        <v>2252.08</v>
      </c>
      <c r="J963" s="119"/>
      <c r="K963" s="83"/>
      <c r="L963" s="40"/>
    </row>
    <row r="964" spans="1:12" collapsed="1" x14ac:dyDescent="0.2">
      <c r="A964" s="29"/>
      <c r="B964" s="147"/>
      <c r="C964" s="147"/>
      <c r="D964" s="96"/>
      <c r="E964" s="100">
        <f>SUM(E620:E963)</f>
        <v>8584554.8600000013</v>
      </c>
      <c r="F964" s="100">
        <f t="shared" ref="F964:G964" si="106">SUM(F620:F963)</f>
        <v>8834875.9600000028</v>
      </c>
      <c r="G964" s="100">
        <f t="shared" si="106"/>
        <v>617886.46</v>
      </c>
      <c r="H964" s="87">
        <f>SUM(H620:H963)</f>
        <v>18037317.279999997</v>
      </c>
      <c r="I964" s="87">
        <f>SUM(I620:I963)</f>
        <v>18037317.279999997</v>
      </c>
      <c r="J964" s="119"/>
      <c r="K964" s="62"/>
      <c r="L964" s="155"/>
    </row>
    <row r="965" spans="1:12" ht="24" x14ac:dyDescent="0.2">
      <c r="A965" s="66" t="s">
        <v>673</v>
      </c>
      <c r="B965" s="147"/>
      <c r="C965" s="148"/>
      <c r="D965" s="101"/>
      <c r="E965" s="104"/>
      <c r="F965" s="104"/>
      <c r="G965" s="22"/>
      <c r="H965" s="52"/>
      <c r="I965" s="77"/>
      <c r="J965" s="22"/>
      <c r="K965" s="28"/>
      <c r="L965" s="155"/>
    </row>
    <row r="966" spans="1:12" outlineLevel="1" x14ac:dyDescent="0.2">
      <c r="A966" s="74" t="s">
        <v>409</v>
      </c>
      <c r="B966" s="147">
        <v>43031</v>
      </c>
      <c r="C966" s="148">
        <v>43465</v>
      </c>
      <c r="D966" s="101"/>
      <c r="E966" s="104">
        <v>96000</v>
      </c>
      <c r="F966" s="104"/>
      <c r="G966" s="22"/>
      <c r="H966" s="52">
        <f>E966+F966+G966</f>
        <v>96000</v>
      </c>
      <c r="I966" s="77">
        <v>96000</v>
      </c>
      <c r="J966" s="62"/>
      <c r="K966" s="28"/>
      <c r="L966" s="155"/>
    </row>
    <row r="967" spans="1:12" ht="36" outlineLevel="1" x14ac:dyDescent="0.2">
      <c r="A967" s="75" t="s">
        <v>155</v>
      </c>
      <c r="B967" s="147">
        <v>42730</v>
      </c>
      <c r="C967" s="148">
        <v>43465</v>
      </c>
      <c r="D967" s="96"/>
      <c r="E967" s="22">
        <v>33865.46</v>
      </c>
      <c r="F967" s="22">
        <v>852.6</v>
      </c>
      <c r="G967" s="22"/>
      <c r="H967" s="52">
        <f t="shared" ref="H967:H970" si="107">E967+F967+G967</f>
        <v>34718.06</v>
      </c>
      <c r="I967" s="87">
        <v>34718.06</v>
      </c>
      <c r="J967" s="62"/>
      <c r="K967" s="28"/>
      <c r="L967" s="155"/>
    </row>
    <row r="968" spans="1:12" ht="36" outlineLevel="1" x14ac:dyDescent="0.2">
      <c r="A968" s="75" t="s">
        <v>411</v>
      </c>
      <c r="B968" s="147">
        <v>42850</v>
      </c>
      <c r="C968" s="148">
        <v>43465</v>
      </c>
      <c r="D968" s="96"/>
      <c r="E968" s="22">
        <v>515732.33</v>
      </c>
      <c r="F968" s="22"/>
      <c r="G968" s="22">
        <v>12372.88</v>
      </c>
      <c r="H968" s="52">
        <f t="shared" si="107"/>
        <v>528105.21</v>
      </c>
      <c r="I968" s="87">
        <v>528105.21</v>
      </c>
      <c r="J968" s="62"/>
      <c r="K968" s="28"/>
      <c r="L968" s="155"/>
    </row>
    <row r="969" spans="1:12" ht="24" outlineLevel="1" x14ac:dyDescent="0.2">
      <c r="A969" s="75" t="s">
        <v>412</v>
      </c>
      <c r="B969" s="147">
        <v>43096</v>
      </c>
      <c r="C969" s="148">
        <v>43465</v>
      </c>
      <c r="D969" s="96"/>
      <c r="E969" s="22">
        <v>8200</v>
      </c>
      <c r="F969" s="22"/>
      <c r="G969" s="22"/>
      <c r="H969" s="52">
        <f t="shared" si="107"/>
        <v>8200</v>
      </c>
      <c r="I969" s="87">
        <v>8200</v>
      </c>
      <c r="J969" s="62"/>
      <c r="K969" s="28"/>
      <c r="L969" s="155"/>
    </row>
    <row r="970" spans="1:12" ht="24" outlineLevel="1" x14ac:dyDescent="0.2">
      <c r="A970" s="75" t="s">
        <v>413</v>
      </c>
      <c r="B970" s="147">
        <v>43017</v>
      </c>
      <c r="C970" s="148">
        <v>43465</v>
      </c>
      <c r="D970" s="96"/>
      <c r="E970" s="22">
        <v>96000</v>
      </c>
      <c r="F970" s="22"/>
      <c r="G970" s="22"/>
      <c r="H970" s="52">
        <f t="shared" si="107"/>
        <v>96000</v>
      </c>
      <c r="I970" s="87">
        <v>96000</v>
      </c>
      <c r="J970" s="62"/>
      <c r="K970" s="28"/>
      <c r="L970" s="155"/>
    </row>
    <row r="971" spans="1:12" x14ac:dyDescent="0.2">
      <c r="A971" s="91"/>
      <c r="B971" s="147"/>
      <c r="C971" s="147"/>
      <c r="D971" s="96"/>
      <c r="E971" s="100">
        <f>SUM(E966:E970)</f>
        <v>749797.79</v>
      </c>
      <c r="F971" s="100">
        <f>SUM(F966:F970)</f>
        <v>852.6</v>
      </c>
      <c r="G971" s="100">
        <f>SUM(G966:G970)</f>
        <v>12372.88</v>
      </c>
      <c r="H971" s="87">
        <f>SUM(H966:H970)</f>
        <v>763023.27</v>
      </c>
      <c r="I971" s="87">
        <f>SUM(I966:I970)</f>
        <v>763023.27</v>
      </c>
      <c r="J971" s="117"/>
      <c r="K971" s="28"/>
      <c r="L971" s="155"/>
    </row>
    <row r="972" spans="1:12" x14ac:dyDescent="0.2">
      <c r="A972" s="35"/>
      <c r="B972" s="148"/>
      <c r="C972" s="147"/>
      <c r="D972" s="96"/>
      <c r="E972" s="22"/>
      <c r="F972" s="22"/>
      <c r="G972" s="22"/>
      <c r="H972" s="87"/>
      <c r="I972" s="77"/>
      <c r="J972" s="31"/>
      <c r="K972" s="28"/>
      <c r="L972" s="155"/>
    </row>
    <row r="973" spans="1:12" ht="24" x14ac:dyDescent="0.2">
      <c r="A973" s="66" t="s">
        <v>674</v>
      </c>
      <c r="B973" s="147"/>
      <c r="C973" s="148"/>
      <c r="D973" s="101"/>
      <c r="E973" s="104"/>
      <c r="F973" s="104"/>
      <c r="G973" s="22"/>
      <c r="H973" s="52"/>
      <c r="I973" s="77"/>
      <c r="J973" s="22"/>
      <c r="K973" s="28"/>
      <c r="L973" s="155"/>
    </row>
    <row r="974" spans="1:12" ht="24" outlineLevel="1" x14ac:dyDescent="0.2">
      <c r="A974" s="76" t="s">
        <v>415</v>
      </c>
      <c r="B974" s="148">
        <v>43100</v>
      </c>
      <c r="C974" s="147">
        <v>43373</v>
      </c>
      <c r="D974" s="96">
        <v>10</v>
      </c>
      <c r="E974" s="22"/>
      <c r="F974" s="22">
        <v>13000</v>
      </c>
      <c r="G974" s="22"/>
      <c r="H974" s="52">
        <f>E974+F974</f>
        <v>13000</v>
      </c>
      <c r="I974" s="77">
        <f>H974</f>
        <v>13000</v>
      </c>
      <c r="J974" s="62"/>
      <c r="K974" s="28"/>
      <c r="L974" s="155"/>
    </row>
    <row r="975" spans="1:12" ht="24" outlineLevel="1" x14ac:dyDescent="0.2">
      <c r="A975" s="76" t="s">
        <v>267</v>
      </c>
      <c r="B975" s="148">
        <v>43100</v>
      </c>
      <c r="C975" s="147">
        <v>43373</v>
      </c>
      <c r="D975" s="96">
        <v>10</v>
      </c>
      <c r="E975" s="22"/>
      <c r="F975" s="22">
        <v>7000</v>
      </c>
      <c r="G975" s="22"/>
      <c r="H975" s="52">
        <f>E975+F975</f>
        <v>7000</v>
      </c>
      <c r="I975" s="77">
        <f>H975</f>
        <v>7000</v>
      </c>
      <c r="J975" s="62"/>
      <c r="K975" s="28"/>
      <c r="L975" s="155"/>
    </row>
    <row r="976" spans="1:12" ht="24" outlineLevel="1" x14ac:dyDescent="0.2">
      <c r="A976" s="76" t="s">
        <v>268</v>
      </c>
      <c r="B976" s="148">
        <v>43008</v>
      </c>
      <c r="C976" s="147">
        <v>43464</v>
      </c>
      <c r="D976" s="96">
        <v>10</v>
      </c>
      <c r="E976" s="22"/>
      <c r="F976" s="22">
        <v>15000</v>
      </c>
      <c r="G976" s="22"/>
      <c r="H976" s="52">
        <f>E976+F976</f>
        <v>15000</v>
      </c>
      <c r="I976" s="77">
        <f>H976</f>
        <v>15000</v>
      </c>
      <c r="J976" s="62"/>
      <c r="K976" s="28"/>
      <c r="L976" s="155"/>
    </row>
    <row r="977" spans="1:12" ht="24" outlineLevel="1" x14ac:dyDescent="0.2">
      <c r="A977" s="76" t="s">
        <v>269</v>
      </c>
      <c r="B977" s="148">
        <v>42644</v>
      </c>
      <c r="C977" s="147">
        <v>43250</v>
      </c>
      <c r="D977" s="96">
        <v>30</v>
      </c>
      <c r="E977" s="22">
        <v>71318.09</v>
      </c>
      <c r="F977" s="22">
        <v>3133.3</v>
      </c>
      <c r="G977" s="22"/>
      <c r="H977" s="52">
        <f>E977+F977</f>
        <v>74451.39</v>
      </c>
      <c r="I977" s="77">
        <f>H977</f>
        <v>74451.39</v>
      </c>
      <c r="J977" s="62"/>
      <c r="K977" s="28"/>
      <c r="L977" s="155"/>
    </row>
    <row r="978" spans="1:12" ht="24" outlineLevel="1" x14ac:dyDescent="0.2">
      <c r="A978" s="76" t="s">
        <v>270</v>
      </c>
      <c r="B978" s="148">
        <v>43100</v>
      </c>
      <c r="C978" s="147">
        <v>43464</v>
      </c>
      <c r="D978" s="96">
        <v>30</v>
      </c>
      <c r="E978" s="22"/>
      <c r="F978" s="22">
        <v>3911.11</v>
      </c>
      <c r="G978" s="22"/>
      <c r="H978" s="52">
        <f>E978+F978</f>
        <v>3911.11</v>
      </c>
      <c r="I978" s="77">
        <f>H978</f>
        <v>3911.11</v>
      </c>
      <c r="J978" s="62"/>
      <c r="K978" s="28"/>
      <c r="L978" s="155"/>
    </row>
    <row r="979" spans="1:12" x14ac:dyDescent="0.2">
      <c r="A979" s="91"/>
      <c r="B979" s="147"/>
      <c r="C979" s="147"/>
      <c r="D979" s="96"/>
      <c r="E979" s="100">
        <f t="shared" ref="E979:I979" si="108">SUM(E974:E978)</f>
        <v>71318.09</v>
      </c>
      <c r="F979" s="100">
        <f t="shared" si="108"/>
        <v>42044.41</v>
      </c>
      <c r="G979" s="100">
        <f t="shared" si="108"/>
        <v>0</v>
      </c>
      <c r="H979" s="87">
        <f t="shared" si="108"/>
        <v>113362.5</v>
      </c>
      <c r="I979" s="87">
        <f t="shared" si="108"/>
        <v>113362.5</v>
      </c>
      <c r="J979" s="127"/>
      <c r="K979" s="28"/>
      <c r="L979" s="155"/>
    </row>
    <row r="980" spans="1:12" x14ac:dyDescent="0.2">
      <c r="A980" s="50"/>
      <c r="B980" s="147"/>
      <c r="C980" s="147"/>
      <c r="D980" s="101"/>
      <c r="E980" s="22"/>
      <c r="F980" s="22"/>
      <c r="G980" s="22"/>
      <c r="H980" s="87"/>
      <c r="I980" s="87"/>
      <c r="J980" s="119"/>
      <c r="K980" s="28"/>
      <c r="L980" s="155"/>
    </row>
    <row r="981" spans="1:12" ht="24" x14ac:dyDescent="0.2">
      <c r="A981" s="66" t="s">
        <v>675</v>
      </c>
      <c r="B981" s="147"/>
      <c r="C981" s="148"/>
      <c r="D981" s="101"/>
      <c r="E981" s="104"/>
      <c r="F981" s="104"/>
      <c r="G981" s="22"/>
      <c r="H981" s="52"/>
      <c r="I981" s="77"/>
      <c r="J981" s="22"/>
      <c r="K981" s="28"/>
      <c r="L981" s="155"/>
    </row>
    <row r="982" spans="1:12" ht="36" outlineLevel="1" x14ac:dyDescent="0.2">
      <c r="A982" s="88" t="s">
        <v>1117</v>
      </c>
      <c r="B982" s="147">
        <v>42277</v>
      </c>
      <c r="C982" s="148">
        <v>43101</v>
      </c>
      <c r="D982" s="96">
        <v>75</v>
      </c>
      <c r="E982" s="22"/>
      <c r="F982" s="22">
        <v>13244.43</v>
      </c>
      <c r="G982" s="22"/>
      <c r="H982" s="52">
        <f t="shared" ref="H982" si="109">E982+F982+G982</f>
        <v>13244.43</v>
      </c>
      <c r="I982" s="77">
        <f t="shared" ref="I982" si="110">H982</f>
        <v>13244.43</v>
      </c>
      <c r="J982" s="31"/>
      <c r="K982" s="28"/>
      <c r="L982" s="155"/>
    </row>
    <row r="983" spans="1:12" ht="24" outlineLevel="1" x14ac:dyDescent="0.2">
      <c r="A983" s="92" t="s">
        <v>676</v>
      </c>
      <c r="B983" s="147">
        <v>43101</v>
      </c>
      <c r="C983" s="148">
        <v>43373</v>
      </c>
      <c r="D983" s="101">
        <v>5</v>
      </c>
      <c r="E983" s="104"/>
      <c r="F983" s="104">
        <v>583.58000000000004</v>
      </c>
      <c r="G983" s="22"/>
      <c r="H983" s="87">
        <f>F983+E983+G983</f>
        <v>583.58000000000004</v>
      </c>
      <c r="I983" s="77">
        <f>H983</f>
        <v>583.58000000000004</v>
      </c>
      <c r="J983" s="62"/>
      <c r="K983" s="28"/>
      <c r="L983" s="155"/>
    </row>
    <row r="984" spans="1:12" ht="24" outlineLevel="1" x14ac:dyDescent="0.2">
      <c r="A984" s="34" t="s">
        <v>46</v>
      </c>
      <c r="B984" s="147">
        <v>42795</v>
      </c>
      <c r="C984" s="147">
        <v>43190</v>
      </c>
      <c r="D984" s="101">
        <v>5</v>
      </c>
      <c r="E984" s="104">
        <v>18203.13</v>
      </c>
      <c r="F984" s="22">
        <v>3162</v>
      </c>
      <c r="G984" s="22"/>
      <c r="H984" s="52">
        <f>E984+F984+G984</f>
        <v>21365.13</v>
      </c>
      <c r="I984" s="77">
        <f t="shared" ref="I984" si="111">H984</f>
        <v>21365.13</v>
      </c>
      <c r="J984" s="62"/>
      <c r="K984" s="28"/>
      <c r="L984" s="155"/>
    </row>
    <row r="985" spans="1:12" outlineLevel="1" x14ac:dyDescent="0.2">
      <c r="A985" s="92" t="s">
        <v>677</v>
      </c>
      <c r="B985" s="147">
        <v>43160</v>
      </c>
      <c r="C985" s="148">
        <v>43465</v>
      </c>
      <c r="D985" s="101">
        <v>5</v>
      </c>
      <c r="E985" s="104"/>
      <c r="F985" s="104">
        <v>1929.04</v>
      </c>
      <c r="G985" s="22"/>
      <c r="H985" s="87">
        <f>F985+E985+G985</f>
        <v>1929.04</v>
      </c>
      <c r="I985" s="77">
        <f t="shared" ref="I985:I1032" si="112">H985</f>
        <v>1929.04</v>
      </c>
      <c r="J985" s="62"/>
      <c r="K985" s="28"/>
      <c r="L985" s="155"/>
    </row>
    <row r="986" spans="1:12" ht="24" outlineLevel="1" x14ac:dyDescent="0.2">
      <c r="A986" s="92" t="s">
        <v>172</v>
      </c>
      <c r="B986" s="147">
        <v>42826</v>
      </c>
      <c r="C986" s="148">
        <v>43281</v>
      </c>
      <c r="D986" s="101">
        <v>5</v>
      </c>
      <c r="E986" s="104"/>
      <c r="F986" s="104">
        <v>7509.22</v>
      </c>
      <c r="G986" s="22"/>
      <c r="H986" s="87">
        <f t="shared" ref="H986:H1032" si="113">F986+E986+G986</f>
        <v>7509.22</v>
      </c>
      <c r="I986" s="77">
        <f t="shared" si="112"/>
        <v>7509.22</v>
      </c>
      <c r="J986" s="62"/>
      <c r="K986" s="28"/>
      <c r="L986" s="155"/>
    </row>
    <row r="987" spans="1:12" outlineLevel="1" x14ac:dyDescent="0.2">
      <c r="A987" s="92" t="s">
        <v>678</v>
      </c>
      <c r="B987" s="147">
        <v>43101</v>
      </c>
      <c r="C987" s="148">
        <v>43281</v>
      </c>
      <c r="D987" s="101">
        <v>5</v>
      </c>
      <c r="E987" s="104"/>
      <c r="F987" s="104">
        <v>583.58000000000004</v>
      </c>
      <c r="G987" s="22"/>
      <c r="H987" s="87">
        <f t="shared" si="113"/>
        <v>583.58000000000004</v>
      </c>
      <c r="I987" s="77">
        <f t="shared" si="112"/>
        <v>583.58000000000004</v>
      </c>
      <c r="J987" s="62"/>
      <c r="K987" s="28"/>
      <c r="L987" s="155"/>
    </row>
    <row r="988" spans="1:12" ht="24" outlineLevel="1" x14ac:dyDescent="0.2">
      <c r="A988" s="92" t="s">
        <v>679</v>
      </c>
      <c r="B988" s="147">
        <v>43132</v>
      </c>
      <c r="C988" s="148">
        <v>43373</v>
      </c>
      <c r="D988" s="101">
        <v>5</v>
      </c>
      <c r="E988" s="104"/>
      <c r="F988" s="104">
        <v>1404.9</v>
      </c>
      <c r="G988" s="22"/>
      <c r="H988" s="87">
        <f t="shared" si="113"/>
        <v>1404.9</v>
      </c>
      <c r="I988" s="77">
        <f t="shared" si="112"/>
        <v>1404.9</v>
      </c>
      <c r="J988" s="62"/>
      <c r="K988" s="28"/>
      <c r="L988" s="155"/>
    </row>
    <row r="989" spans="1:12" ht="24" outlineLevel="1" x14ac:dyDescent="0.2">
      <c r="A989" s="92" t="s">
        <v>173</v>
      </c>
      <c r="B989" s="147">
        <v>42979</v>
      </c>
      <c r="C989" s="148">
        <v>43343</v>
      </c>
      <c r="D989" s="101">
        <v>5</v>
      </c>
      <c r="E989" s="104"/>
      <c r="F989" s="104">
        <v>1837.17</v>
      </c>
      <c r="G989" s="22"/>
      <c r="H989" s="87">
        <f t="shared" si="113"/>
        <v>1837.17</v>
      </c>
      <c r="I989" s="77">
        <f t="shared" si="112"/>
        <v>1837.17</v>
      </c>
      <c r="J989" s="62"/>
      <c r="K989" s="28"/>
      <c r="L989" s="155"/>
    </row>
    <row r="990" spans="1:12" outlineLevel="1" x14ac:dyDescent="0.2">
      <c r="A990" s="92" t="s">
        <v>680</v>
      </c>
      <c r="B990" s="147">
        <v>43160</v>
      </c>
      <c r="C990" s="148">
        <v>43496</v>
      </c>
      <c r="D990" s="101">
        <v>5</v>
      </c>
      <c r="E990" s="104"/>
      <c r="F990" s="104">
        <v>2411.27</v>
      </c>
      <c r="G990" s="22"/>
      <c r="H990" s="87">
        <f t="shared" si="113"/>
        <v>2411.27</v>
      </c>
      <c r="I990" s="77">
        <f t="shared" si="112"/>
        <v>2411.27</v>
      </c>
      <c r="J990" s="62"/>
      <c r="K990" s="28"/>
      <c r="L990" s="155"/>
    </row>
    <row r="991" spans="1:12" ht="24" outlineLevel="1" x14ac:dyDescent="0.2">
      <c r="A991" s="92" t="s">
        <v>174</v>
      </c>
      <c r="B991" s="147">
        <v>42948</v>
      </c>
      <c r="C991" s="148">
        <v>43312</v>
      </c>
      <c r="D991" s="101">
        <v>10</v>
      </c>
      <c r="E991" s="104">
        <v>17000</v>
      </c>
      <c r="F991" s="104">
        <v>7942.82</v>
      </c>
      <c r="G991" s="22"/>
      <c r="H991" s="87">
        <f t="shared" si="113"/>
        <v>24942.82</v>
      </c>
      <c r="I991" s="77">
        <f t="shared" si="112"/>
        <v>24942.82</v>
      </c>
      <c r="J991" s="62"/>
      <c r="K991" s="28"/>
      <c r="L991" s="155"/>
    </row>
    <row r="992" spans="1:12" outlineLevel="1" x14ac:dyDescent="0.2">
      <c r="A992" s="92" t="s">
        <v>681</v>
      </c>
      <c r="B992" s="147">
        <v>43160</v>
      </c>
      <c r="C992" s="148">
        <v>43496</v>
      </c>
      <c r="D992" s="101">
        <v>5</v>
      </c>
      <c r="E992" s="104"/>
      <c r="F992" s="104">
        <v>1929.04</v>
      </c>
      <c r="G992" s="22"/>
      <c r="H992" s="87">
        <f t="shared" si="113"/>
        <v>1929.04</v>
      </c>
      <c r="I992" s="77">
        <f t="shared" si="112"/>
        <v>1929.04</v>
      </c>
      <c r="J992" s="62"/>
      <c r="K992" s="28"/>
      <c r="L992" s="155"/>
    </row>
    <row r="993" spans="1:12" ht="24" outlineLevel="1" x14ac:dyDescent="0.2">
      <c r="A993" s="92" t="s">
        <v>416</v>
      </c>
      <c r="B993" s="147">
        <v>43070</v>
      </c>
      <c r="C993" s="148">
        <v>43524</v>
      </c>
      <c r="D993" s="101">
        <v>5</v>
      </c>
      <c r="E993" s="104"/>
      <c r="F993" s="104">
        <v>1361.67</v>
      </c>
      <c r="G993" s="22"/>
      <c r="H993" s="87">
        <f t="shared" si="113"/>
        <v>1361.67</v>
      </c>
      <c r="I993" s="77">
        <f t="shared" si="112"/>
        <v>1361.67</v>
      </c>
      <c r="J993" s="62"/>
      <c r="K993" s="28"/>
      <c r="L993" s="155"/>
    </row>
    <row r="994" spans="1:12" ht="24" outlineLevel="1" x14ac:dyDescent="0.2">
      <c r="A994" s="92" t="s">
        <v>682</v>
      </c>
      <c r="B994" s="147">
        <v>43160</v>
      </c>
      <c r="C994" s="148">
        <v>43373</v>
      </c>
      <c r="D994" s="101">
        <v>5</v>
      </c>
      <c r="E994" s="104"/>
      <c r="F994" s="104">
        <v>1929.04</v>
      </c>
      <c r="G994" s="22"/>
      <c r="H994" s="87">
        <f>F994+E994+G994</f>
        <v>1929.04</v>
      </c>
      <c r="I994" s="77">
        <f t="shared" si="112"/>
        <v>1929.04</v>
      </c>
      <c r="J994" s="62"/>
      <c r="K994" s="28"/>
      <c r="L994" s="155"/>
    </row>
    <row r="995" spans="1:12" ht="24" outlineLevel="1" x14ac:dyDescent="0.2">
      <c r="A995" s="92" t="s">
        <v>683</v>
      </c>
      <c r="B995" s="147">
        <v>43160</v>
      </c>
      <c r="C995" s="148">
        <v>43281</v>
      </c>
      <c r="D995" s="101">
        <v>5</v>
      </c>
      <c r="E995" s="104"/>
      <c r="F995" s="104">
        <v>4505.95</v>
      </c>
      <c r="G995" s="22"/>
      <c r="H995" s="87">
        <f>F995+E995+G995</f>
        <v>4505.95</v>
      </c>
      <c r="I995" s="77">
        <f t="shared" si="112"/>
        <v>4505.95</v>
      </c>
      <c r="J995" s="62"/>
      <c r="K995" s="28"/>
      <c r="L995" s="155"/>
    </row>
    <row r="996" spans="1:12" ht="24" outlineLevel="1" x14ac:dyDescent="0.2">
      <c r="A996" s="92" t="s">
        <v>684</v>
      </c>
      <c r="B996" s="147">
        <v>43101</v>
      </c>
      <c r="C996" s="148">
        <v>43404</v>
      </c>
      <c r="D996" s="101">
        <v>5</v>
      </c>
      <c r="E996" s="104"/>
      <c r="F996" s="104">
        <v>2411.2800000000002</v>
      </c>
      <c r="G996" s="22"/>
      <c r="H996" s="87">
        <f>F996+E996+G996</f>
        <v>2411.2800000000002</v>
      </c>
      <c r="I996" s="77">
        <f t="shared" si="112"/>
        <v>2411.2800000000002</v>
      </c>
      <c r="J996" s="62"/>
      <c r="K996" s="28"/>
      <c r="L996" s="155"/>
    </row>
    <row r="997" spans="1:12" outlineLevel="1" x14ac:dyDescent="0.2">
      <c r="A997" s="92" t="s">
        <v>685</v>
      </c>
      <c r="B997" s="147">
        <v>43160</v>
      </c>
      <c r="C997" s="148">
        <v>43404</v>
      </c>
      <c r="D997" s="101">
        <v>5</v>
      </c>
      <c r="E997" s="104"/>
      <c r="F997" s="104">
        <v>2411.27</v>
      </c>
      <c r="G997" s="22"/>
      <c r="H997" s="87">
        <f t="shared" si="113"/>
        <v>2411.27</v>
      </c>
      <c r="I997" s="77">
        <f t="shared" si="112"/>
        <v>2411.27</v>
      </c>
      <c r="J997" s="62"/>
      <c r="K997" s="28"/>
      <c r="L997" s="155"/>
    </row>
    <row r="998" spans="1:12" outlineLevel="1" x14ac:dyDescent="0.2">
      <c r="A998" s="92" t="s">
        <v>686</v>
      </c>
      <c r="B998" s="147">
        <v>43160</v>
      </c>
      <c r="C998" s="148">
        <v>43251</v>
      </c>
      <c r="D998" s="101">
        <v>5</v>
      </c>
      <c r="E998" s="104"/>
      <c r="F998" s="104">
        <v>2411.27</v>
      </c>
      <c r="G998" s="22"/>
      <c r="H998" s="87">
        <f>F998+E998+G998</f>
        <v>2411.27</v>
      </c>
      <c r="I998" s="77">
        <f t="shared" si="112"/>
        <v>2411.27</v>
      </c>
      <c r="J998" s="62"/>
      <c r="K998" s="28"/>
      <c r="L998" s="155"/>
    </row>
    <row r="999" spans="1:12" ht="24" outlineLevel="1" x14ac:dyDescent="0.2">
      <c r="A999" s="92" t="s">
        <v>175</v>
      </c>
      <c r="B999" s="147">
        <v>42583</v>
      </c>
      <c r="C999" s="148">
        <v>43343</v>
      </c>
      <c r="D999" s="101">
        <v>15</v>
      </c>
      <c r="E999" s="104">
        <v>18139.349999999999</v>
      </c>
      <c r="F999" s="104">
        <v>2842.79</v>
      </c>
      <c r="G999" s="22"/>
      <c r="H999" s="87">
        <f t="shared" si="113"/>
        <v>20982.14</v>
      </c>
      <c r="I999" s="77">
        <f t="shared" si="112"/>
        <v>20982.14</v>
      </c>
      <c r="J999" s="62"/>
      <c r="K999" s="28"/>
      <c r="L999" s="155"/>
    </row>
    <row r="1000" spans="1:12" ht="24" outlineLevel="1" x14ac:dyDescent="0.2">
      <c r="A1000" s="92" t="s">
        <v>687</v>
      </c>
      <c r="B1000" s="147">
        <v>43160</v>
      </c>
      <c r="C1000" s="148">
        <v>43404</v>
      </c>
      <c r="D1000" s="101">
        <v>5</v>
      </c>
      <c r="E1000" s="104"/>
      <c r="F1000" s="104">
        <v>972.63</v>
      </c>
      <c r="G1000" s="22"/>
      <c r="H1000" s="87">
        <f t="shared" si="113"/>
        <v>972.63</v>
      </c>
      <c r="I1000" s="77">
        <f t="shared" si="112"/>
        <v>972.63</v>
      </c>
      <c r="J1000" s="62"/>
      <c r="K1000" s="28"/>
      <c r="L1000" s="155"/>
    </row>
    <row r="1001" spans="1:12" ht="24" outlineLevel="1" x14ac:dyDescent="0.2">
      <c r="A1001" s="92" t="s">
        <v>688</v>
      </c>
      <c r="B1001" s="147">
        <v>43101</v>
      </c>
      <c r="C1001" s="148">
        <v>43373</v>
      </c>
      <c r="D1001" s="101">
        <v>5</v>
      </c>
      <c r="E1001" s="104"/>
      <c r="F1001" s="104">
        <v>1929.04</v>
      </c>
      <c r="G1001" s="22"/>
      <c r="H1001" s="87">
        <f t="shared" si="113"/>
        <v>1929.04</v>
      </c>
      <c r="I1001" s="77">
        <f t="shared" si="112"/>
        <v>1929.04</v>
      </c>
      <c r="J1001" s="62"/>
      <c r="K1001" s="28"/>
      <c r="L1001" s="155"/>
    </row>
    <row r="1002" spans="1:12" ht="24" outlineLevel="1" x14ac:dyDescent="0.2">
      <c r="A1002" s="92" t="s">
        <v>176</v>
      </c>
      <c r="B1002" s="147">
        <v>42979</v>
      </c>
      <c r="C1002" s="148">
        <v>43434</v>
      </c>
      <c r="D1002" s="101">
        <v>5</v>
      </c>
      <c r="E1002" s="104"/>
      <c r="F1002" s="104">
        <v>1806.29</v>
      </c>
      <c r="G1002" s="22"/>
      <c r="H1002" s="87">
        <f t="shared" si="113"/>
        <v>1806.29</v>
      </c>
      <c r="I1002" s="77">
        <f t="shared" si="112"/>
        <v>1806.29</v>
      </c>
      <c r="J1002" s="62"/>
      <c r="K1002" s="28"/>
      <c r="L1002" s="155"/>
    </row>
    <row r="1003" spans="1:12" ht="24" outlineLevel="1" x14ac:dyDescent="0.2">
      <c r="A1003" s="92" t="s">
        <v>689</v>
      </c>
      <c r="B1003" s="147">
        <v>43101</v>
      </c>
      <c r="C1003" s="148">
        <v>43281</v>
      </c>
      <c r="D1003" s="101">
        <v>5</v>
      </c>
      <c r="E1003" s="104"/>
      <c r="F1003" s="104">
        <v>1361.67</v>
      </c>
      <c r="G1003" s="22"/>
      <c r="H1003" s="87">
        <f>F1003+E1003+G1003</f>
        <v>1361.67</v>
      </c>
      <c r="I1003" s="77">
        <f t="shared" si="112"/>
        <v>1361.67</v>
      </c>
      <c r="J1003" s="62"/>
      <c r="K1003" s="28"/>
      <c r="L1003" s="155"/>
    </row>
    <row r="1004" spans="1:12" ht="24" outlineLevel="1" x14ac:dyDescent="0.2">
      <c r="A1004" s="92" t="s">
        <v>417</v>
      </c>
      <c r="B1004" s="147">
        <v>43040</v>
      </c>
      <c r="C1004" s="148">
        <v>43281</v>
      </c>
      <c r="D1004" s="101">
        <v>5</v>
      </c>
      <c r="E1004" s="104"/>
      <c r="F1004" s="104">
        <v>1929.05</v>
      </c>
      <c r="G1004" s="22"/>
      <c r="H1004" s="87">
        <f t="shared" si="113"/>
        <v>1929.05</v>
      </c>
      <c r="I1004" s="77">
        <f t="shared" si="112"/>
        <v>1929.05</v>
      </c>
      <c r="J1004" s="62"/>
      <c r="K1004" s="28"/>
      <c r="L1004" s="155"/>
    </row>
    <row r="1005" spans="1:12" ht="24" outlineLevel="1" x14ac:dyDescent="0.2">
      <c r="A1005" s="92" t="s">
        <v>690</v>
      </c>
      <c r="B1005" s="147">
        <v>43160</v>
      </c>
      <c r="C1005" s="148">
        <v>43251</v>
      </c>
      <c r="D1005" s="101">
        <v>5</v>
      </c>
      <c r="E1005" s="104"/>
      <c r="F1005" s="104">
        <v>2411.27</v>
      </c>
      <c r="G1005" s="22"/>
      <c r="H1005" s="87">
        <f t="shared" si="113"/>
        <v>2411.27</v>
      </c>
      <c r="I1005" s="77">
        <f t="shared" si="112"/>
        <v>2411.27</v>
      </c>
      <c r="J1005" s="62"/>
      <c r="K1005" s="28"/>
      <c r="L1005" s="155"/>
    </row>
    <row r="1006" spans="1:12" ht="24" outlineLevel="1" x14ac:dyDescent="0.2">
      <c r="A1006" s="92" t="s">
        <v>418</v>
      </c>
      <c r="B1006" s="147">
        <v>43009</v>
      </c>
      <c r="C1006" s="148">
        <v>43251</v>
      </c>
      <c r="D1006" s="101">
        <v>5</v>
      </c>
      <c r="E1006" s="104"/>
      <c r="F1006" s="104">
        <v>6710.26</v>
      </c>
      <c r="G1006" s="22"/>
      <c r="H1006" s="87">
        <f t="shared" si="113"/>
        <v>6710.26</v>
      </c>
      <c r="I1006" s="77">
        <f t="shared" si="112"/>
        <v>6710.26</v>
      </c>
      <c r="J1006" s="62"/>
      <c r="K1006" s="28"/>
      <c r="L1006" s="155"/>
    </row>
    <row r="1007" spans="1:12" ht="24" outlineLevel="1" x14ac:dyDescent="0.2">
      <c r="A1007" s="92" t="s">
        <v>691</v>
      </c>
      <c r="B1007" s="147">
        <v>43160</v>
      </c>
      <c r="C1007" s="148">
        <v>43281</v>
      </c>
      <c r="D1007" s="101">
        <v>5</v>
      </c>
      <c r="E1007" s="104"/>
      <c r="F1007" s="104">
        <v>2411.27</v>
      </c>
      <c r="G1007" s="22"/>
      <c r="H1007" s="87">
        <f>F1007+E1007+G1007</f>
        <v>2411.27</v>
      </c>
      <c r="I1007" s="77">
        <f t="shared" si="112"/>
        <v>2411.27</v>
      </c>
      <c r="J1007" s="62"/>
      <c r="K1007" s="28"/>
      <c r="L1007" s="155"/>
    </row>
    <row r="1008" spans="1:12" ht="24" outlineLevel="1" x14ac:dyDescent="0.2">
      <c r="A1008" s="92" t="s">
        <v>692</v>
      </c>
      <c r="B1008" s="147">
        <v>43160</v>
      </c>
      <c r="C1008" s="148">
        <v>43465</v>
      </c>
      <c r="D1008" s="101">
        <v>10</v>
      </c>
      <c r="E1008" s="104">
        <v>15000</v>
      </c>
      <c r="F1008" s="104"/>
      <c r="G1008" s="22"/>
      <c r="H1008" s="87">
        <f>F1008+E1008+G1008</f>
        <v>15000</v>
      </c>
      <c r="I1008" s="77">
        <f t="shared" si="112"/>
        <v>15000</v>
      </c>
      <c r="J1008" s="62"/>
      <c r="K1008" s="28"/>
      <c r="L1008" s="155"/>
    </row>
    <row r="1009" spans="1:12" ht="24" outlineLevel="1" x14ac:dyDescent="0.2">
      <c r="A1009" s="92" t="s">
        <v>693</v>
      </c>
      <c r="B1009" s="147">
        <v>43132</v>
      </c>
      <c r="C1009" s="148">
        <v>43312</v>
      </c>
      <c r="D1009" s="101">
        <v>5</v>
      </c>
      <c r="E1009" s="104"/>
      <c r="F1009" s="104">
        <v>1929.04</v>
      </c>
      <c r="G1009" s="22"/>
      <c r="H1009" s="87">
        <f>F1009+E1009+G1009</f>
        <v>1929.04</v>
      </c>
      <c r="I1009" s="77">
        <f t="shared" si="112"/>
        <v>1929.04</v>
      </c>
      <c r="J1009" s="62"/>
      <c r="K1009" s="28"/>
      <c r="L1009" s="155"/>
    </row>
    <row r="1010" spans="1:12" outlineLevel="1" x14ac:dyDescent="0.2">
      <c r="A1010" s="92" t="s">
        <v>419</v>
      </c>
      <c r="B1010" s="147">
        <v>43070</v>
      </c>
      <c r="C1010" s="148">
        <v>43373</v>
      </c>
      <c r="D1010" s="101">
        <v>5</v>
      </c>
      <c r="E1010" s="104"/>
      <c r="F1010" s="104">
        <v>1929.04</v>
      </c>
      <c r="G1010" s="22"/>
      <c r="H1010" s="87">
        <f t="shared" si="113"/>
        <v>1929.04</v>
      </c>
      <c r="I1010" s="77">
        <f t="shared" si="112"/>
        <v>1929.04</v>
      </c>
      <c r="J1010" s="62"/>
      <c r="K1010" s="28"/>
      <c r="L1010" s="155"/>
    </row>
    <row r="1011" spans="1:12" ht="24" outlineLevel="1" x14ac:dyDescent="0.2">
      <c r="A1011" s="92" t="s">
        <v>177</v>
      </c>
      <c r="B1011" s="147">
        <v>42948</v>
      </c>
      <c r="C1011" s="148">
        <v>43343</v>
      </c>
      <c r="D1011" s="101">
        <v>5</v>
      </c>
      <c r="E1011" s="104"/>
      <c r="F1011" s="104">
        <v>2010.46</v>
      </c>
      <c r="G1011" s="22"/>
      <c r="H1011" s="87">
        <f t="shared" si="113"/>
        <v>2010.46</v>
      </c>
      <c r="I1011" s="77">
        <f t="shared" si="112"/>
        <v>2010.46</v>
      </c>
      <c r="J1011" s="62"/>
      <c r="K1011" s="28"/>
      <c r="L1011" s="155"/>
    </row>
    <row r="1012" spans="1:12" ht="24" outlineLevel="1" x14ac:dyDescent="0.2">
      <c r="A1012" s="92" t="s">
        <v>420</v>
      </c>
      <c r="B1012" s="147">
        <v>43009</v>
      </c>
      <c r="C1012" s="148">
        <v>43465</v>
      </c>
      <c r="D1012" s="101">
        <v>5</v>
      </c>
      <c r="E1012" s="104"/>
      <c r="F1012" s="104">
        <v>7590.26</v>
      </c>
      <c r="G1012" s="22"/>
      <c r="H1012" s="87">
        <f t="shared" si="113"/>
        <v>7590.26</v>
      </c>
      <c r="I1012" s="77">
        <f t="shared" si="112"/>
        <v>7590.26</v>
      </c>
      <c r="J1012" s="62"/>
      <c r="K1012" s="28"/>
      <c r="L1012" s="155"/>
    </row>
    <row r="1013" spans="1:12" ht="24" outlineLevel="1" x14ac:dyDescent="0.2">
      <c r="A1013" s="92" t="s">
        <v>694</v>
      </c>
      <c r="B1013" s="147">
        <v>43132</v>
      </c>
      <c r="C1013" s="148">
        <v>43251</v>
      </c>
      <c r="D1013" s="101">
        <v>5</v>
      </c>
      <c r="E1013" s="104"/>
      <c r="F1013" s="104">
        <v>1702.08</v>
      </c>
      <c r="G1013" s="22"/>
      <c r="H1013" s="87">
        <f>F1013+E1013+G1013</f>
        <v>1702.08</v>
      </c>
      <c r="I1013" s="77">
        <f t="shared" si="112"/>
        <v>1702.08</v>
      </c>
      <c r="J1013" s="62"/>
      <c r="K1013" s="28"/>
      <c r="L1013" s="155"/>
    </row>
    <row r="1014" spans="1:12" outlineLevel="1" x14ac:dyDescent="0.2">
      <c r="A1014" s="92" t="s">
        <v>695</v>
      </c>
      <c r="B1014" s="147">
        <v>43132</v>
      </c>
      <c r="C1014" s="148">
        <v>43434</v>
      </c>
      <c r="D1014" s="101">
        <v>5</v>
      </c>
      <c r="E1014" s="104"/>
      <c r="F1014" s="104">
        <v>1929.05</v>
      </c>
      <c r="G1014" s="22"/>
      <c r="H1014" s="87">
        <f t="shared" si="113"/>
        <v>1929.05</v>
      </c>
      <c r="I1014" s="77">
        <f t="shared" si="112"/>
        <v>1929.05</v>
      </c>
      <c r="J1014" s="62"/>
      <c r="K1014" s="28"/>
      <c r="L1014" s="155"/>
    </row>
    <row r="1015" spans="1:12" ht="24" outlineLevel="1" x14ac:dyDescent="0.2">
      <c r="A1015" s="92" t="s">
        <v>696</v>
      </c>
      <c r="B1015" s="147">
        <v>43132</v>
      </c>
      <c r="C1015" s="148">
        <v>43251</v>
      </c>
      <c r="D1015" s="101">
        <v>5</v>
      </c>
      <c r="E1015" s="104"/>
      <c r="F1015" s="104">
        <v>1929.05</v>
      </c>
      <c r="G1015" s="22"/>
      <c r="H1015" s="87">
        <f t="shared" si="113"/>
        <v>1929.05</v>
      </c>
      <c r="I1015" s="77">
        <f t="shared" si="112"/>
        <v>1929.05</v>
      </c>
      <c r="J1015" s="62"/>
      <c r="K1015" s="28"/>
      <c r="L1015" s="155"/>
    </row>
    <row r="1016" spans="1:12" ht="24" outlineLevel="1" x14ac:dyDescent="0.2">
      <c r="A1016" s="92" t="s">
        <v>697</v>
      </c>
      <c r="B1016" s="147">
        <v>43132</v>
      </c>
      <c r="C1016" s="148">
        <v>43524</v>
      </c>
      <c r="D1016" s="101">
        <v>5</v>
      </c>
      <c r="E1016" s="104"/>
      <c r="F1016" s="104">
        <v>4340.33</v>
      </c>
      <c r="G1016" s="22"/>
      <c r="H1016" s="87">
        <f>F1016+E1016+G1016</f>
        <v>4340.33</v>
      </c>
      <c r="I1016" s="77">
        <f t="shared" si="112"/>
        <v>4340.33</v>
      </c>
      <c r="J1016" s="62"/>
      <c r="K1016" s="28"/>
      <c r="L1016" s="155"/>
    </row>
    <row r="1017" spans="1:12" ht="36" outlineLevel="1" x14ac:dyDescent="0.2">
      <c r="A1017" s="92" t="s">
        <v>178</v>
      </c>
      <c r="B1017" s="147">
        <v>42705</v>
      </c>
      <c r="C1017" s="148">
        <v>43251</v>
      </c>
      <c r="D1017" s="101">
        <v>15</v>
      </c>
      <c r="E1017" s="104">
        <v>9362.16</v>
      </c>
      <c r="F1017" s="104">
        <v>3923.91</v>
      </c>
      <c r="G1017" s="22"/>
      <c r="H1017" s="87">
        <f t="shared" si="113"/>
        <v>13286.07</v>
      </c>
      <c r="I1017" s="77">
        <f t="shared" si="112"/>
        <v>13286.07</v>
      </c>
      <c r="J1017" s="62"/>
      <c r="K1017" s="28"/>
      <c r="L1017" s="155"/>
    </row>
    <row r="1018" spans="1:12" outlineLevel="1" x14ac:dyDescent="0.2">
      <c r="A1018" s="92" t="s">
        <v>698</v>
      </c>
      <c r="B1018" s="147">
        <v>43160</v>
      </c>
      <c r="C1018" s="148">
        <v>43434</v>
      </c>
      <c r="D1018" s="101">
        <v>10</v>
      </c>
      <c r="E1018" s="104">
        <v>18000</v>
      </c>
      <c r="F1018" s="104"/>
      <c r="G1018" s="22"/>
      <c r="H1018" s="87">
        <f t="shared" si="113"/>
        <v>18000</v>
      </c>
      <c r="I1018" s="77">
        <f t="shared" si="112"/>
        <v>18000</v>
      </c>
      <c r="J1018" s="62"/>
      <c r="K1018" s="28"/>
      <c r="L1018" s="155"/>
    </row>
    <row r="1019" spans="1:12" ht="24" outlineLevel="1" x14ac:dyDescent="0.2">
      <c r="A1019" s="92" t="s">
        <v>179</v>
      </c>
      <c r="B1019" s="147">
        <v>42887</v>
      </c>
      <c r="C1019" s="148">
        <v>43373</v>
      </c>
      <c r="D1019" s="101">
        <v>10</v>
      </c>
      <c r="E1019" s="104">
        <v>13000</v>
      </c>
      <c r="F1019" s="104">
        <v>2411.2800000000002</v>
      </c>
      <c r="G1019" s="22"/>
      <c r="H1019" s="87">
        <f t="shared" si="113"/>
        <v>15411.28</v>
      </c>
      <c r="I1019" s="77">
        <f t="shared" si="112"/>
        <v>15411.28</v>
      </c>
      <c r="J1019" s="62"/>
      <c r="K1019" s="28"/>
      <c r="L1019" s="155"/>
    </row>
    <row r="1020" spans="1:12" ht="24" outlineLevel="1" x14ac:dyDescent="0.2">
      <c r="A1020" s="35" t="s">
        <v>256</v>
      </c>
      <c r="B1020" s="147">
        <v>42855</v>
      </c>
      <c r="C1020" s="147">
        <v>43101</v>
      </c>
      <c r="D1020" s="96">
        <v>5</v>
      </c>
      <c r="E1020" s="22">
        <v>69502.679999999993</v>
      </c>
      <c r="F1020" s="103"/>
      <c r="G1020" s="22"/>
      <c r="H1020" s="52">
        <f t="shared" ref="H1020" si="114">E1020+F1020+G1020</f>
        <v>69502.679999999993</v>
      </c>
      <c r="I1020" s="77">
        <f t="shared" si="112"/>
        <v>69502.679999999993</v>
      </c>
      <c r="J1020" s="62"/>
      <c r="K1020" s="28"/>
      <c r="L1020" s="155"/>
    </row>
    <row r="1021" spans="1:12" ht="24" outlineLevel="1" x14ac:dyDescent="0.2">
      <c r="A1021" s="92" t="s">
        <v>180</v>
      </c>
      <c r="B1021" s="147">
        <v>42856</v>
      </c>
      <c r="C1021" s="148">
        <v>43465</v>
      </c>
      <c r="D1021" s="101">
        <v>5</v>
      </c>
      <c r="E1021" s="104"/>
      <c r="F1021" s="104">
        <v>8590.57</v>
      </c>
      <c r="G1021" s="22"/>
      <c r="H1021" s="87">
        <f t="shared" si="113"/>
        <v>8590.57</v>
      </c>
      <c r="I1021" s="77">
        <f t="shared" si="112"/>
        <v>8590.57</v>
      </c>
      <c r="J1021" s="62"/>
      <c r="K1021" s="28"/>
      <c r="L1021" s="155"/>
    </row>
    <row r="1022" spans="1:12" ht="24" outlineLevel="1" x14ac:dyDescent="0.2">
      <c r="A1022" s="92" t="s">
        <v>181</v>
      </c>
      <c r="B1022" s="147">
        <v>42826</v>
      </c>
      <c r="C1022" s="148">
        <v>43434</v>
      </c>
      <c r="D1022" s="101">
        <v>15</v>
      </c>
      <c r="E1022" s="104">
        <v>45000</v>
      </c>
      <c r="F1022" s="104">
        <v>9432.7800000000007</v>
      </c>
      <c r="G1022" s="22"/>
      <c r="H1022" s="87">
        <f t="shared" si="113"/>
        <v>54432.78</v>
      </c>
      <c r="I1022" s="77">
        <f t="shared" si="112"/>
        <v>54432.78</v>
      </c>
      <c r="J1022" s="62"/>
      <c r="K1022" s="28"/>
      <c r="L1022" s="155"/>
    </row>
    <row r="1023" spans="1:12" ht="24" outlineLevel="1" x14ac:dyDescent="0.2">
      <c r="A1023" s="92" t="s">
        <v>421</v>
      </c>
      <c r="B1023" s="147">
        <v>43070</v>
      </c>
      <c r="C1023" s="148">
        <v>43343</v>
      </c>
      <c r="D1023" s="101">
        <v>5</v>
      </c>
      <c r="E1023" s="104"/>
      <c r="F1023" s="104">
        <v>1929.04</v>
      </c>
      <c r="G1023" s="22"/>
      <c r="H1023" s="87">
        <f t="shared" si="113"/>
        <v>1929.04</v>
      </c>
      <c r="I1023" s="77">
        <f t="shared" si="112"/>
        <v>1929.04</v>
      </c>
      <c r="J1023" s="62"/>
      <c r="K1023" s="28"/>
      <c r="L1023" s="155"/>
    </row>
    <row r="1024" spans="1:12" outlineLevel="1" x14ac:dyDescent="0.2">
      <c r="A1024" s="92" t="s">
        <v>699</v>
      </c>
      <c r="B1024" s="147">
        <v>43101</v>
      </c>
      <c r="C1024" s="148">
        <v>43404</v>
      </c>
      <c r="D1024" s="101">
        <v>5</v>
      </c>
      <c r="E1024" s="104"/>
      <c r="F1024" s="104">
        <v>1929.04</v>
      </c>
      <c r="G1024" s="22"/>
      <c r="H1024" s="87">
        <f>F1024+E1024+G1024</f>
        <v>1929.04</v>
      </c>
      <c r="I1024" s="77">
        <f t="shared" si="112"/>
        <v>1929.04</v>
      </c>
      <c r="J1024" s="62"/>
      <c r="K1024" s="28"/>
      <c r="L1024" s="155"/>
    </row>
    <row r="1025" spans="1:12" ht="24" outlineLevel="1" x14ac:dyDescent="0.2">
      <c r="A1025" s="92" t="s">
        <v>700</v>
      </c>
      <c r="B1025" s="147">
        <v>43132</v>
      </c>
      <c r="C1025" s="148">
        <v>43524</v>
      </c>
      <c r="D1025" s="101">
        <v>5</v>
      </c>
      <c r="E1025" s="104"/>
      <c r="F1025" s="104">
        <v>1215.77</v>
      </c>
      <c r="G1025" s="22"/>
      <c r="H1025" s="87">
        <f>F1025+E1025+G1025</f>
        <v>1215.77</v>
      </c>
      <c r="I1025" s="77">
        <f t="shared" si="112"/>
        <v>1215.77</v>
      </c>
      <c r="J1025" s="62"/>
      <c r="K1025" s="28"/>
      <c r="L1025" s="155"/>
    </row>
    <row r="1026" spans="1:12" ht="24" outlineLevel="1" x14ac:dyDescent="0.2">
      <c r="A1026" s="92" t="s">
        <v>422</v>
      </c>
      <c r="B1026" s="147">
        <v>43070</v>
      </c>
      <c r="C1026" s="148">
        <v>43343</v>
      </c>
      <c r="D1026" s="101">
        <v>5</v>
      </c>
      <c r="E1026" s="104"/>
      <c r="F1026" s="104">
        <v>1929.04</v>
      </c>
      <c r="G1026" s="22"/>
      <c r="H1026" s="87">
        <f t="shared" si="113"/>
        <v>1929.04</v>
      </c>
      <c r="I1026" s="77">
        <f t="shared" si="112"/>
        <v>1929.04</v>
      </c>
      <c r="J1026" s="62"/>
      <c r="K1026" s="28"/>
      <c r="L1026" s="155"/>
    </row>
    <row r="1027" spans="1:12" ht="24" outlineLevel="1" x14ac:dyDescent="0.2">
      <c r="A1027" s="92" t="s">
        <v>182</v>
      </c>
      <c r="B1027" s="147">
        <v>42948</v>
      </c>
      <c r="C1027" s="148">
        <v>43312</v>
      </c>
      <c r="D1027" s="101">
        <v>25</v>
      </c>
      <c r="E1027" s="104">
        <v>86952.01</v>
      </c>
      <c r="F1027" s="104">
        <v>8299.4699999999993</v>
      </c>
      <c r="G1027" s="22"/>
      <c r="H1027" s="87">
        <f t="shared" si="113"/>
        <v>95251.48</v>
      </c>
      <c r="I1027" s="77">
        <f t="shared" si="112"/>
        <v>95251.48</v>
      </c>
      <c r="J1027" s="62"/>
      <c r="K1027" s="28"/>
      <c r="L1027" s="155"/>
    </row>
    <row r="1028" spans="1:12" outlineLevel="1" x14ac:dyDescent="0.2">
      <c r="A1028" s="92" t="s">
        <v>701</v>
      </c>
      <c r="B1028" s="147">
        <v>43160</v>
      </c>
      <c r="C1028" s="148">
        <v>43343</v>
      </c>
      <c r="D1028" s="101">
        <v>5</v>
      </c>
      <c r="E1028" s="104"/>
      <c r="F1028" s="104">
        <v>1377.88</v>
      </c>
      <c r="G1028" s="22"/>
      <c r="H1028" s="87">
        <f t="shared" si="113"/>
        <v>1377.88</v>
      </c>
      <c r="I1028" s="77">
        <f t="shared" si="112"/>
        <v>1377.88</v>
      </c>
      <c r="J1028" s="62"/>
      <c r="K1028" s="28"/>
      <c r="L1028" s="155"/>
    </row>
    <row r="1029" spans="1:12" outlineLevel="1" x14ac:dyDescent="0.2">
      <c r="A1029" s="92" t="s">
        <v>423</v>
      </c>
      <c r="B1029" s="147">
        <v>43070</v>
      </c>
      <c r="C1029" s="148">
        <v>43312</v>
      </c>
      <c r="D1029" s="101">
        <v>5</v>
      </c>
      <c r="E1029" s="104"/>
      <c r="F1029" s="104">
        <v>5186.6899999999996</v>
      </c>
      <c r="G1029" s="22"/>
      <c r="H1029" s="87">
        <f t="shared" si="113"/>
        <v>5186.6899999999996</v>
      </c>
      <c r="I1029" s="77">
        <f t="shared" si="112"/>
        <v>5186.6899999999996</v>
      </c>
      <c r="J1029" s="62"/>
      <c r="K1029" s="28"/>
      <c r="L1029" s="155"/>
    </row>
    <row r="1030" spans="1:12" outlineLevel="1" x14ac:dyDescent="0.2">
      <c r="A1030" s="92" t="s">
        <v>702</v>
      </c>
      <c r="B1030" s="147">
        <v>43132</v>
      </c>
      <c r="C1030" s="148">
        <v>43373</v>
      </c>
      <c r="D1030" s="101">
        <v>5</v>
      </c>
      <c r="E1030" s="104"/>
      <c r="F1030" s="104">
        <v>2411.2800000000002</v>
      </c>
      <c r="G1030" s="22"/>
      <c r="H1030" s="87">
        <f t="shared" si="113"/>
        <v>2411.2800000000002</v>
      </c>
      <c r="I1030" s="77">
        <f t="shared" si="112"/>
        <v>2411.2800000000002</v>
      </c>
      <c r="J1030" s="62"/>
      <c r="K1030" s="28"/>
      <c r="L1030" s="155"/>
    </row>
    <row r="1031" spans="1:12" ht="24" outlineLevel="1" x14ac:dyDescent="0.2">
      <c r="A1031" s="36" t="s">
        <v>1118</v>
      </c>
      <c r="B1031" s="148">
        <v>42542</v>
      </c>
      <c r="C1031" s="148">
        <v>43131</v>
      </c>
      <c r="D1031" s="101">
        <v>20</v>
      </c>
      <c r="E1031" s="22"/>
      <c r="F1031" s="103">
        <v>5031.12</v>
      </c>
      <c r="G1031" s="102"/>
      <c r="H1031" s="52">
        <f t="shared" ref="H1031" si="115">E1031+F1031+G1031</f>
        <v>5031.12</v>
      </c>
      <c r="I1031" s="77">
        <f t="shared" si="112"/>
        <v>5031.12</v>
      </c>
      <c r="J1031" s="62"/>
      <c r="K1031" s="28"/>
      <c r="L1031" s="155"/>
    </row>
    <row r="1032" spans="1:12" ht="24" outlineLevel="1" x14ac:dyDescent="0.2">
      <c r="A1032" s="92" t="s">
        <v>183</v>
      </c>
      <c r="B1032" s="147">
        <v>42826</v>
      </c>
      <c r="C1032" s="148">
        <v>43434</v>
      </c>
      <c r="D1032" s="101">
        <v>5</v>
      </c>
      <c r="E1032" s="104"/>
      <c r="F1032" s="104">
        <v>8299.4599999999991</v>
      </c>
      <c r="G1032" s="22"/>
      <c r="H1032" s="87">
        <f t="shared" si="113"/>
        <v>8299.4599999999991</v>
      </c>
      <c r="I1032" s="77">
        <f t="shared" si="112"/>
        <v>8299.4599999999991</v>
      </c>
      <c r="J1032" s="62"/>
      <c r="K1032" s="28"/>
      <c r="L1032" s="155"/>
    </row>
    <row r="1033" spans="1:12" ht="24" outlineLevel="1" x14ac:dyDescent="0.2">
      <c r="A1033" s="92" t="s">
        <v>430</v>
      </c>
      <c r="B1033" s="147">
        <v>43070</v>
      </c>
      <c r="C1033" s="148">
        <v>43312</v>
      </c>
      <c r="D1033" s="101">
        <v>5</v>
      </c>
      <c r="E1033" s="104"/>
      <c r="F1033" s="104">
        <v>6881.45</v>
      </c>
      <c r="G1033" s="22"/>
      <c r="H1033" s="87">
        <f>F1033+E1033+G1033</f>
        <v>6881.45</v>
      </c>
      <c r="I1033" s="77">
        <f>H1033</f>
        <v>6881.45</v>
      </c>
      <c r="J1033" s="62"/>
      <c r="K1033" s="28"/>
      <c r="L1033" s="155"/>
    </row>
    <row r="1034" spans="1:12" outlineLevel="1" x14ac:dyDescent="0.2">
      <c r="A1034" s="92" t="s">
        <v>431</v>
      </c>
      <c r="B1034" s="147">
        <v>43070</v>
      </c>
      <c r="C1034" s="148">
        <v>43220</v>
      </c>
      <c r="D1034" s="101">
        <v>5</v>
      </c>
      <c r="E1034" s="104"/>
      <c r="F1034" s="104">
        <v>5553.03</v>
      </c>
      <c r="G1034" s="22"/>
      <c r="H1034" s="87">
        <f>F1034+E1034+G1034</f>
        <v>5553.03</v>
      </c>
      <c r="I1034" s="77">
        <f>H1034</f>
        <v>5553.03</v>
      </c>
      <c r="J1034" s="62"/>
      <c r="K1034" s="28"/>
      <c r="L1034" s="155"/>
    </row>
    <row r="1035" spans="1:12" outlineLevel="1" x14ac:dyDescent="0.2">
      <c r="A1035" s="92" t="s">
        <v>704</v>
      </c>
      <c r="B1035" s="147">
        <v>43132</v>
      </c>
      <c r="C1035" s="148">
        <v>43496</v>
      </c>
      <c r="D1035" s="101">
        <v>5</v>
      </c>
      <c r="E1035" s="104"/>
      <c r="F1035" s="104">
        <v>583.58000000000004</v>
      </c>
      <c r="G1035" s="22"/>
      <c r="H1035" s="87">
        <f>F1035+E1035+G1035</f>
        <v>583.58000000000004</v>
      </c>
      <c r="I1035" s="77">
        <f>H1035</f>
        <v>583.58000000000004</v>
      </c>
      <c r="J1035" s="62"/>
      <c r="K1035" s="28"/>
      <c r="L1035" s="155"/>
    </row>
    <row r="1036" spans="1:12" ht="24" outlineLevel="1" x14ac:dyDescent="0.2">
      <c r="A1036" s="92" t="s">
        <v>189</v>
      </c>
      <c r="B1036" s="147">
        <v>42948</v>
      </c>
      <c r="C1036" s="148">
        <v>43343</v>
      </c>
      <c r="D1036" s="101">
        <v>50</v>
      </c>
      <c r="E1036" s="104">
        <v>165200</v>
      </c>
      <c r="F1036" s="104">
        <v>8910.6299999999992</v>
      </c>
      <c r="G1036" s="22"/>
      <c r="H1036" s="87">
        <f>F1036+E1036+G1036</f>
        <v>174110.63</v>
      </c>
      <c r="I1036" s="77">
        <f>H1036</f>
        <v>174110.63</v>
      </c>
      <c r="J1036" s="62"/>
      <c r="K1036" s="28"/>
      <c r="L1036" s="155"/>
    </row>
    <row r="1037" spans="1:12" ht="24" outlineLevel="1" x14ac:dyDescent="0.2">
      <c r="A1037" s="92" t="s">
        <v>190</v>
      </c>
      <c r="B1037" s="147">
        <v>42826</v>
      </c>
      <c r="C1037" s="148">
        <v>43312</v>
      </c>
      <c r="D1037" s="101">
        <v>5</v>
      </c>
      <c r="E1037" s="104"/>
      <c r="F1037" s="104">
        <v>8316.27</v>
      </c>
      <c r="G1037" s="22"/>
      <c r="H1037" s="87">
        <f>F1037+E1037+G1037</f>
        <v>8316.27</v>
      </c>
      <c r="I1037" s="77">
        <f>H1037</f>
        <v>8316.27</v>
      </c>
      <c r="J1037" s="62"/>
      <c r="K1037" s="28"/>
      <c r="L1037" s="155"/>
    </row>
    <row r="1038" spans="1:12" ht="24" outlineLevel="1" x14ac:dyDescent="0.2">
      <c r="A1038" s="92" t="s">
        <v>705</v>
      </c>
      <c r="B1038" s="147">
        <v>43101</v>
      </c>
      <c r="C1038" s="148">
        <v>43404</v>
      </c>
      <c r="D1038" s="101">
        <v>5</v>
      </c>
      <c r="E1038" s="104"/>
      <c r="F1038" s="104">
        <v>6066.57</v>
      </c>
      <c r="G1038" s="22"/>
      <c r="H1038" s="87">
        <f>F1038+E1038+G1038</f>
        <v>6066.57</v>
      </c>
      <c r="I1038" s="77">
        <f>H1038</f>
        <v>6066.57</v>
      </c>
      <c r="J1038" s="62"/>
      <c r="K1038" s="28"/>
      <c r="L1038" s="155"/>
    </row>
    <row r="1039" spans="1:12" ht="24" outlineLevel="1" x14ac:dyDescent="0.2">
      <c r="A1039" s="36" t="s">
        <v>1121</v>
      </c>
      <c r="B1039" s="147">
        <v>42339</v>
      </c>
      <c r="C1039" s="148">
        <v>43190</v>
      </c>
      <c r="D1039" s="101">
        <v>50</v>
      </c>
      <c r="E1039" s="22"/>
      <c r="F1039" s="103">
        <v>37626</v>
      </c>
      <c r="G1039" s="102"/>
      <c r="H1039" s="52">
        <f t="shared" ref="H1039" si="116">E1039+F1039+G1039</f>
        <v>37626</v>
      </c>
      <c r="I1039" s="77">
        <f t="shared" ref="I1039" si="117">H1039</f>
        <v>37626</v>
      </c>
      <c r="J1039" s="110"/>
      <c r="K1039" s="28"/>
      <c r="L1039" s="155"/>
    </row>
    <row r="1040" spans="1:12" ht="24" outlineLevel="1" x14ac:dyDescent="0.2">
      <c r="A1040" s="92" t="s">
        <v>187</v>
      </c>
      <c r="B1040" s="147">
        <v>42948</v>
      </c>
      <c r="C1040" s="148">
        <v>43343</v>
      </c>
      <c r="D1040" s="101">
        <v>15</v>
      </c>
      <c r="E1040" s="104">
        <v>45000</v>
      </c>
      <c r="F1040" s="104">
        <v>9025.4599999999991</v>
      </c>
      <c r="G1040" s="22"/>
      <c r="H1040" s="87">
        <f>F1040+E1040+G1040</f>
        <v>54025.46</v>
      </c>
      <c r="I1040" s="77">
        <f>H1040</f>
        <v>54025.46</v>
      </c>
      <c r="J1040" s="62"/>
      <c r="K1040" s="28"/>
      <c r="L1040" s="155"/>
    </row>
    <row r="1041" spans="1:12" ht="24" outlineLevel="1" x14ac:dyDescent="0.2">
      <c r="A1041" s="92" t="s">
        <v>706</v>
      </c>
      <c r="B1041" s="147">
        <v>43101</v>
      </c>
      <c r="C1041" s="148">
        <v>43404</v>
      </c>
      <c r="D1041" s="101">
        <v>10</v>
      </c>
      <c r="E1041" s="104">
        <v>14500</v>
      </c>
      <c r="F1041" s="104"/>
      <c r="G1041" s="22"/>
      <c r="H1041" s="87">
        <f>F1041+E1041+G1041</f>
        <v>14500</v>
      </c>
      <c r="I1041" s="77">
        <f>H1041</f>
        <v>14500</v>
      </c>
      <c r="J1041" s="62"/>
      <c r="K1041" s="28"/>
      <c r="L1041" s="155"/>
    </row>
    <row r="1042" spans="1:12" ht="24" outlineLevel="1" x14ac:dyDescent="0.2">
      <c r="A1042" s="92" t="s">
        <v>192</v>
      </c>
      <c r="B1042" s="147">
        <v>42705</v>
      </c>
      <c r="C1042" s="148">
        <v>43434</v>
      </c>
      <c r="D1042" s="101">
        <v>15</v>
      </c>
      <c r="E1042" s="104">
        <v>22400</v>
      </c>
      <c r="F1042" s="104">
        <v>9401.24</v>
      </c>
      <c r="G1042" s="22"/>
      <c r="H1042" s="87">
        <f>F1042+E1042+G1042</f>
        <v>31801.239999999998</v>
      </c>
      <c r="I1042" s="77">
        <f>H1042</f>
        <v>31801.239999999998</v>
      </c>
      <c r="J1042" s="62"/>
      <c r="K1042" s="28"/>
      <c r="L1042" s="155"/>
    </row>
    <row r="1043" spans="1:12" ht="24" outlineLevel="1" x14ac:dyDescent="0.2">
      <c r="A1043" s="29" t="s">
        <v>424</v>
      </c>
      <c r="B1043" s="148">
        <v>43070</v>
      </c>
      <c r="C1043" s="147">
        <v>43312</v>
      </c>
      <c r="D1043" s="96">
        <v>5</v>
      </c>
      <c r="E1043" s="22">
        <f>3225.67+5229.98</f>
        <v>8455.65</v>
      </c>
      <c r="F1043" s="22"/>
      <c r="G1043" s="22"/>
      <c r="H1043" s="87">
        <f t="shared" ref="H1043" si="118">F1043+E1043+G1043</f>
        <v>8455.65</v>
      </c>
      <c r="I1043" s="77">
        <f t="shared" ref="I1043" si="119">H1043</f>
        <v>8455.65</v>
      </c>
      <c r="J1043" s="110"/>
      <c r="K1043" s="28"/>
      <c r="L1043" s="155"/>
    </row>
    <row r="1044" spans="1:12" ht="36" outlineLevel="1" x14ac:dyDescent="0.2">
      <c r="A1044" s="36" t="s">
        <v>1119</v>
      </c>
      <c r="B1044" s="148">
        <v>42402</v>
      </c>
      <c r="C1044" s="148">
        <v>43131</v>
      </c>
      <c r="D1044" s="101">
        <v>20</v>
      </c>
      <c r="E1044" s="22"/>
      <c r="F1044" s="103">
        <v>14170.83</v>
      </c>
      <c r="G1044" s="102"/>
      <c r="H1044" s="52">
        <f t="shared" ref="H1044" si="120">E1044+F1044+G1044</f>
        <v>14170.83</v>
      </c>
      <c r="I1044" s="77">
        <f>H1044</f>
        <v>14170.83</v>
      </c>
      <c r="J1044" s="110"/>
      <c r="K1044" s="28"/>
      <c r="L1044" s="155"/>
    </row>
    <row r="1045" spans="1:12" ht="24" outlineLevel="1" x14ac:dyDescent="0.2">
      <c r="A1045" s="92" t="s">
        <v>703</v>
      </c>
      <c r="B1045" s="147">
        <v>43132</v>
      </c>
      <c r="C1045" s="148">
        <v>43373</v>
      </c>
      <c r="D1045" s="101">
        <v>5</v>
      </c>
      <c r="E1045" s="104"/>
      <c r="F1045" s="104">
        <v>1929.04</v>
      </c>
      <c r="G1045" s="22"/>
      <c r="H1045" s="87">
        <f>F1045+E1045+G1045</f>
        <v>1929.04</v>
      </c>
      <c r="I1045" s="77">
        <f>H1045</f>
        <v>1929.04</v>
      </c>
      <c r="J1045" s="62"/>
      <c r="K1045" s="28"/>
      <c r="L1045" s="155"/>
    </row>
    <row r="1046" spans="1:12" ht="24" outlineLevel="1" x14ac:dyDescent="0.2">
      <c r="A1046" s="92" t="s">
        <v>425</v>
      </c>
      <c r="B1046" s="147">
        <v>43040</v>
      </c>
      <c r="C1046" s="148">
        <v>43312</v>
      </c>
      <c r="D1046" s="101">
        <v>5</v>
      </c>
      <c r="E1046" s="104"/>
      <c r="F1046" s="104">
        <v>1872.4</v>
      </c>
      <c r="G1046" s="22"/>
      <c r="H1046" s="87">
        <f>F1046+E1046+G1046</f>
        <v>1872.4</v>
      </c>
      <c r="I1046" s="77">
        <f>H1046</f>
        <v>1872.4</v>
      </c>
      <c r="J1046" s="62"/>
      <c r="K1046" s="28"/>
      <c r="L1046" s="155"/>
    </row>
    <row r="1047" spans="1:12" ht="24" outlineLevel="1" x14ac:dyDescent="0.2">
      <c r="A1047" s="92" t="s">
        <v>426</v>
      </c>
      <c r="B1047" s="147">
        <v>43040</v>
      </c>
      <c r="C1047" s="148">
        <v>43220</v>
      </c>
      <c r="D1047" s="101">
        <v>5</v>
      </c>
      <c r="E1047" s="104"/>
      <c r="F1047" s="104">
        <v>5186.68</v>
      </c>
      <c r="G1047" s="22"/>
      <c r="H1047" s="87">
        <f>F1047+E1047+G1047</f>
        <v>5186.68</v>
      </c>
      <c r="I1047" s="77">
        <f>H1047</f>
        <v>5186.68</v>
      </c>
      <c r="J1047" s="62"/>
      <c r="K1047" s="28"/>
      <c r="L1047" s="155"/>
    </row>
    <row r="1048" spans="1:12" ht="24" outlineLevel="1" x14ac:dyDescent="0.2">
      <c r="A1048" s="92" t="s">
        <v>184</v>
      </c>
      <c r="B1048" s="147">
        <v>42948</v>
      </c>
      <c r="C1048" s="148">
        <v>43465</v>
      </c>
      <c r="D1048" s="101">
        <v>5</v>
      </c>
      <c r="E1048" s="104"/>
      <c r="F1048" s="104">
        <v>8299.4599999999991</v>
      </c>
      <c r="G1048" s="22"/>
      <c r="H1048" s="87">
        <f>F1048+E1048+G1048</f>
        <v>8299.4599999999991</v>
      </c>
      <c r="I1048" s="77">
        <f>H1048</f>
        <v>8299.4599999999991</v>
      </c>
      <c r="J1048" s="62"/>
      <c r="K1048" s="28"/>
      <c r="L1048" s="155"/>
    </row>
    <row r="1049" spans="1:12" ht="24" outlineLevel="1" x14ac:dyDescent="0.2">
      <c r="A1049" s="92" t="s">
        <v>427</v>
      </c>
      <c r="B1049" s="147">
        <v>43070</v>
      </c>
      <c r="C1049" s="148">
        <v>43434</v>
      </c>
      <c r="D1049" s="101">
        <v>5</v>
      </c>
      <c r="E1049" s="104"/>
      <c r="F1049" s="104">
        <v>6881.74</v>
      </c>
      <c r="G1049" s="22"/>
      <c r="H1049" s="87">
        <f>F1049+E1049+G1049</f>
        <v>6881.74</v>
      </c>
      <c r="I1049" s="77">
        <f>H1049</f>
        <v>6881.74</v>
      </c>
      <c r="J1049" s="62"/>
      <c r="K1049" s="28"/>
      <c r="L1049" s="155"/>
    </row>
    <row r="1050" spans="1:12" ht="24" outlineLevel="1" x14ac:dyDescent="0.2">
      <c r="A1050" s="92" t="s">
        <v>428</v>
      </c>
      <c r="B1050" s="147">
        <v>43040</v>
      </c>
      <c r="C1050" s="148">
        <v>43404</v>
      </c>
      <c r="D1050" s="101">
        <v>5</v>
      </c>
      <c r="E1050" s="104"/>
      <c r="F1050" s="104">
        <v>1361.67</v>
      </c>
      <c r="G1050" s="22"/>
      <c r="H1050" s="87">
        <f>F1050+E1050+G1050</f>
        <v>1361.67</v>
      </c>
      <c r="I1050" s="77">
        <f>H1050</f>
        <v>1361.67</v>
      </c>
      <c r="J1050" s="62"/>
      <c r="K1050" s="28"/>
      <c r="L1050" s="155"/>
    </row>
    <row r="1051" spans="1:12" ht="24" outlineLevel="1" x14ac:dyDescent="0.2">
      <c r="A1051" s="92" t="s">
        <v>185</v>
      </c>
      <c r="B1051" s="147">
        <v>42887</v>
      </c>
      <c r="C1051" s="148">
        <v>43404</v>
      </c>
      <c r="D1051" s="101">
        <v>5</v>
      </c>
      <c r="E1051" s="104"/>
      <c r="F1051" s="104">
        <v>6710.26</v>
      </c>
      <c r="G1051" s="22"/>
      <c r="H1051" s="87">
        <f>F1051+E1051+G1051</f>
        <v>6710.26</v>
      </c>
      <c r="I1051" s="77">
        <f>H1051</f>
        <v>6710.26</v>
      </c>
      <c r="J1051" s="62"/>
      <c r="K1051" s="28"/>
      <c r="L1051" s="155"/>
    </row>
    <row r="1052" spans="1:12" ht="36" outlineLevel="1" x14ac:dyDescent="0.2">
      <c r="A1052" s="92" t="s">
        <v>429</v>
      </c>
      <c r="B1052" s="147">
        <v>43070</v>
      </c>
      <c r="C1052" s="148">
        <v>43434</v>
      </c>
      <c r="D1052" s="101">
        <v>5</v>
      </c>
      <c r="E1052" s="104"/>
      <c r="F1052" s="104">
        <v>3444.72</v>
      </c>
      <c r="G1052" s="22"/>
      <c r="H1052" s="87">
        <f>F1052+E1052+G1052</f>
        <v>3444.72</v>
      </c>
      <c r="I1052" s="77">
        <f>H1052</f>
        <v>3444.72</v>
      </c>
      <c r="J1052" s="62"/>
      <c r="K1052" s="28"/>
      <c r="L1052" s="155"/>
    </row>
    <row r="1053" spans="1:12" ht="36" outlineLevel="1" x14ac:dyDescent="0.2">
      <c r="A1053" s="92" t="s">
        <v>186</v>
      </c>
      <c r="B1053" s="147">
        <v>42675</v>
      </c>
      <c r="C1053" s="148">
        <v>43281</v>
      </c>
      <c r="D1053" s="101">
        <v>5</v>
      </c>
      <c r="E1053" s="104"/>
      <c r="F1053" s="104">
        <v>1962.52</v>
      </c>
      <c r="G1053" s="22"/>
      <c r="H1053" s="87">
        <f>F1053+E1053+G1053</f>
        <v>1962.52</v>
      </c>
      <c r="I1053" s="77">
        <f>H1053</f>
        <v>1962.52</v>
      </c>
      <c r="J1053" s="62"/>
      <c r="K1053" s="28"/>
      <c r="L1053" s="155"/>
    </row>
    <row r="1054" spans="1:12" ht="24" outlineLevel="1" x14ac:dyDescent="0.2">
      <c r="A1054" s="92" t="s">
        <v>191</v>
      </c>
      <c r="B1054" s="147">
        <v>42948</v>
      </c>
      <c r="C1054" s="148">
        <v>43465</v>
      </c>
      <c r="D1054" s="101">
        <v>15</v>
      </c>
      <c r="E1054" s="104">
        <v>45000</v>
      </c>
      <c r="F1054" s="104">
        <v>9025.4699999999993</v>
      </c>
      <c r="G1054" s="22"/>
      <c r="H1054" s="87">
        <f>F1054+E1054+G1054</f>
        <v>54025.47</v>
      </c>
      <c r="I1054" s="77">
        <f>H1054</f>
        <v>54025.47</v>
      </c>
      <c r="J1054" s="62"/>
      <c r="K1054" s="28"/>
      <c r="L1054" s="155"/>
    </row>
    <row r="1055" spans="1:12" ht="24" outlineLevel="1" x14ac:dyDescent="0.2">
      <c r="A1055" s="92" t="s">
        <v>188</v>
      </c>
      <c r="B1055" s="147">
        <v>42887</v>
      </c>
      <c r="C1055" s="148">
        <v>43281</v>
      </c>
      <c r="D1055" s="101">
        <v>10</v>
      </c>
      <c r="E1055" s="104">
        <v>15000</v>
      </c>
      <c r="F1055" s="104">
        <v>4471.3900000000003</v>
      </c>
      <c r="G1055" s="22"/>
      <c r="H1055" s="87">
        <f>F1055+E1055+G1055</f>
        <v>19471.39</v>
      </c>
      <c r="I1055" s="77">
        <f>H1055</f>
        <v>19471.39</v>
      </c>
      <c r="J1055" s="62"/>
      <c r="K1055" s="28"/>
      <c r="L1055" s="155"/>
    </row>
    <row r="1056" spans="1:12" ht="24" outlineLevel="1" x14ac:dyDescent="0.2">
      <c r="A1056" s="36" t="s">
        <v>1120</v>
      </c>
      <c r="B1056" s="148">
        <v>42501</v>
      </c>
      <c r="C1056" s="148">
        <v>43190</v>
      </c>
      <c r="D1056" s="101">
        <v>20</v>
      </c>
      <c r="E1056" s="22"/>
      <c r="F1056" s="103">
        <v>38601.620000000003</v>
      </c>
      <c r="G1056" s="102"/>
      <c r="H1056" s="52">
        <f t="shared" ref="H1056" si="121">E1056+F1056+G1056</f>
        <v>38601.620000000003</v>
      </c>
      <c r="I1056" s="77">
        <f>H1056</f>
        <v>38601.620000000003</v>
      </c>
      <c r="J1056" s="62"/>
      <c r="K1056" s="28"/>
      <c r="L1056" s="155"/>
    </row>
    <row r="1057" spans="1:12" ht="36" outlineLevel="1" x14ac:dyDescent="0.2">
      <c r="A1057" s="29" t="s">
        <v>193</v>
      </c>
      <c r="B1057" s="148">
        <v>42979</v>
      </c>
      <c r="C1057" s="147">
        <v>43159</v>
      </c>
      <c r="D1057" s="96">
        <v>5</v>
      </c>
      <c r="E1057" s="22">
        <v>2107.34</v>
      </c>
      <c r="F1057" s="22"/>
      <c r="G1057" s="22"/>
      <c r="H1057" s="87">
        <f t="shared" ref="H1057:H1070" si="122">F1057+E1057+G1057</f>
        <v>2107.34</v>
      </c>
      <c r="I1057" s="77">
        <f t="shared" ref="I1057:I1070" si="123">H1057</f>
        <v>2107.34</v>
      </c>
      <c r="J1057" s="62"/>
      <c r="K1057" s="28"/>
      <c r="L1057" s="155"/>
    </row>
    <row r="1058" spans="1:12" ht="24" outlineLevel="1" x14ac:dyDescent="0.2">
      <c r="A1058" s="92" t="s">
        <v>432</v>
      </c>
      <c r="B1058" s="147">
        <v>43009</v>
      </c>
      <c r="C1058" s="148">
        <v>43312</v>
      </c>
      <c r="D1058" s="101">
        <v>15</v>
      </c>
      <c r="E1058" s="104">
        <v>15000</v>
      </c>
      <c r="F1058" s="104">
        <v>5017.8500000000004</v>
      </c>
      <c r="G1058" s="22"/>
      <c r="H1058" s="87">
        <f t="shared" si="122"/>
        <v>20017.849999999999</v>
      </c>
      <c r="I1058" s="77">
        <f t="shared" si="123"/>
        <v>20017.849999999999</v>
      </c>
      <c r="J1058" s="62"/>
      <c r="K1058" s="28"/>
      <c r="L1058" s="155"/>
    </row>
    <row r="1059" spans="1:12" ht="24" outlineLevel="1" x14ac:dyDescent="0.2">
      <c r="A1059" s="29" t="s">
        <v>194</v>
      </c>
      <c r="B1059" s="148">
        <v>42795</v>
      </c>
      <c r="C1059" s="147">
        <v>43312</v>
      </c>
      <c r="D1059" s="96">
        <v>15</v>
      </c>
      <c r="E1059" s="22">
        <v>8265.42</v>
      </c>
      <c r="F1059" s="22">
        <v>37000</v>
      </c>
      <c r="G1059" s="22"/>
      <c r="H1059" s="87">
        <f t="shared" si="122"/>
        <v>45265.42</v>
      </c>
      <c r="I1059" s="77">
        <f t="shared" si="123"/>
        <v>45265.42</v>
      </c>
      <c r="J1059" s="62"/>
      <c r="K1059" s="28"/>
      <c r="L1059" s="155"/>
    </row>
    <row r="1060" spans="1:12" ht="24" outlineLevel="1" x14ac:dyDescent="0.2">
      <c r="A1060" s="29" t="s">
        <v>433</v>
      </c>
      <c r="B1060" s="148">
        <v>43040</v>
      </c>
      <c r="C1060" s="147">
        <v>43281</v>
      </c>
      <c r="D1060" s="96">
        <v>5</v>
      </c>
      <c r="E1060" s="22">
        <v>5413.64</v>
      </c>
      <c r="F1060" s="22"/>
      <c r="G1060" s="22"/>
      <c r="H1060" s="87">
        <f t="shared" si="122"/>
        <v>5413.64</v>
      </c>
      <c r="I1060" s="77">
        <f t="shared" si="123"/>
        <v>5413.64</v>
      </c>
      <c r="J1060" s="62"/>
      <c r="K1060" s="28"/>
      <c r="L1060" s="155"/>
    </row>
    <row r="1061" spans="1:12" ht="24" outlineLevel="1" x14ac:dyDescent="0.2">
      <c r="A1061" s="92" t="s">
        <v>707</v>
      </c>
      <c r="B1061" s="147">
        <v>43160</v>
      </c>
      <c r="C1061" s="148">
        <v>43373</v>
      </c>
      <c r="D1061" s="101">
        <v>5</v>
      </c>
      <c r="E1061" s="104"/>
      <c r="F1061" s="104">
        <v>2411.27</v>
      </c>
      <c r="G1061" s="22"/>
      <c r="H1061" s="87">
        <f t="shared" si="122"/>
        <v>2411.27</v>
      </c>
      <c r="I1061" s="77">
        <f t="shared" si="123"/>
        <v>2411.27</v>
      </c>
      <c r="J1061" s="62"/>
      <c r="K1061" s="28"/>
      <c r="L1061" s="155"/>
    </row>
    <row r="1062" spans="1:12" ht="24" outlineLevel="1" x14ac:dyDescent="0.2">
      <c r="A1062" s="92" t="s">
        <v>434</v>
      </c>
      <c r="B1062" s="147">
        <v>43009</v>
      </c>
      <c r="C1062" s="148">
        <v>43281</v>
      </c>
      <c r="D1062" s="101">
        <v>15</v>
      </c>
      <c r="E1062" s="104">
        <v>12500</v>
      </c>
      <c r="F1062" s="104">
        <v>6130</v>
      </c>
      <c r="G1062" s="22"/>
      <c r="H1062" s="87">
        <f t="shared" si="122"/>
        <v>18630</v>
      </c>
      <c r="I1062" s="77">
        <f t="shared" si="123"/>
        <v>18630</v>
      </c>
      <c r="J1062" s="62"/>
      <c r="K1062" s="28"/>
      <c r="L1062" s="155"/>
    </row>
    <row r="1063" spans="1:12" outlineLevel="1" x14ac:dyDescent="0.2">
      <c r="A1063" s="92" t="s">
        <v>708</v>
      </c>
      <c r="B1063" s="147">
        <v>43101</v>
      </c>
      <c r="C1063" s="148">
        <v>43312</v>
      </c>
      <c r="D1063" s="101">
        <v>5</v>
      </c>
      <c r="E1063" s="104"/>
      <c r="F1063" s="104">
        <v>2821.77</v>
      </c>
      <c r="G1063" s="22"/>
      <c r="H1063" s="87">
        <f>F1063+E1063+G1063</f>
        <v>2821.77</v>
      </c>
      <c r="I1063" s="77">
        <f t="shared" si="123"/>
        <v>2821.77</v>
      </c>
      <c r="J1063" s="62"/>
      <c r="K1063" s="28"/>
      <c r="L1063" s="155"/>
    </row>
    <row r="1064" spans="1:12" ht="24" outlineLevel="1" x14ac:dyDescent="0.2">
      <c r="A1064" s="92" t="s">
        <v>709</v>
      </c>
      <c r="B1064" s="147">
        <v>43132</v>
      </c>
      <c r="C1064" s="148">
        <v>43312</v>
      </c>
      <c r="D1064" s="101">
        <v>15</v>
      </c>
      <c r="E1064" s="104">
        <v>45000</v>
      </c>
      <c r="F1064" s="104">
        <v>5326.06</v>
      </c>
      <c r="G1064" s="22"/>
      <c r="H1064" s="87">
        <f>F1064+E1064+G1064</f>
        <v>50326.06</v>
      </c>
      <c r="I1064" s="77">
        <f t="shared" si="123"/>
        <v>50326.06</v>
      </c>
      <c r="J1064" s="62"/>
      <c r="K1064" s="28"/>
      <c r="L1064" s="155"/>
    </row>
    <row r="1065" spans="1:12" ht="24" outlineLevel="1" x14ac:dyDescent="0.2">
      <c r="A1065" s="92" t="s">
        <v>710</v>
      </c>
      <c r="B1065" s="147">
        <v>43132</v>
      </c>
      <c r="C1065" s="148">
        <v>43312</v>
      </c>
      <c r="D1065" s="101">
        <v>5</v>
      </c>
      <c r="E1065" s="104"/>
      <c r="F1065" s="104">
        <v>1157.8900000000001</v>
      </c>
      <c r="G1065" s="22"/>
      <c r="H1065" s="87">
        <f>F1065+E1065+G1065</f>
        <v>1157.8900000000001</v>
      </c>
      <c r="I1065" s="77">
        <f t="shared" si="123"/>
        <v>1157.8900000000001</v>
      </c>
      <c r="J1065" s="62"/>
      <c r="K1065" s="28"/>
      <c r="L1065" s="155"/>
    </row>
    <row r="1066" spans="1:12" ht="24" outlineLevel="1" x14ac:dyDescent="0.2">
      <c r="A1066" s="92" t="s">
        <v>711</v>
      </c>
      <c r="B1066" s="147">
        <v>43132</v>
      </c>
      <c r="C1066" s="148">
        <v>43312</v>
      </c>
      <c r="D1066" s="101">
        <v>5</v>
      </c>
      <c r="E1066" s="104"/>
      <c r="F1066" s="104">
        <v>1157.8900000000001</v>
      </c>
      <c r="G1066" s="22"/>
      <c r="H1066" s="87">
        <f>F1066+E1066+G1066</f>
        <v>1157.8900000000001</v>
      </c>
      <c r="I1066" s="77">
        <f t="shared" si="123"/>
        <v>1157.8900000000001</v>
      </c>
      <c r="J1066" s="62"/>
      <c r="K1066" s="28"/>
      <c r="L1066" s="155"/>
    </row>
    <row r="1067" spans="1:12" ht="24" outlineLevel="1" x14ac:dyDescent="0.2">
      <c r="A1067" s="92" t="s">
        <v>712</v>
      </c>
      <c r="B1067" s="147">
        <v>43160</v>
      </c>
      <c r="C1067" s="148">
        <v>43312</v>
      </c>
      <c r="D1067" s="101">
        <v>5</v>
      </c>
      <c r="E1067" s="104"/>
      <c r="F1067" s="104">
        <v>2184.13</v>
      </c>
      <c r="G1067" s="22"/>
      <c r="H1067" s="87">
        <f>F1067+E1067+G1067</f>
        <v>2184.13</v>
      </c>
      <c r="I1067" s="77">
        <f t="shared" si="123"/>
        <v>2184.13</v>
      </c>
      <c r="J1067" s="62"/>
      <c r="K1067" s="28"/>
      <c r="L1067" s="155"/>
    </row>
    <row r="1068" spans="1:12" ht="24" outlineLevel="1" x14ac:dyDescent="0.2">
      <c r="A1068" s="92" t="s">
        <v>435</v>
      </c>
      <c r="B1068" s="147">
        <v>43009</v>
      </c>
      <c r="C1068" s="148">
        <v>43434</v>
      </c>
      <c r="D1068" s="101">
        <v>15</v>
      </c>
      <c r="E1068" s="104">
        <v>13500</v>
      </c>
      <c r="F1068" s="104">
        <v>6035.26</v>
      </c>
      <c r="G1068" s="22"/>
      <c r="H1068" s="87">
        <f t="shared" ref="H1068:H1069" si="124">F1068+E1068+G1068</f>
        <v>19535.260000000002</v>
      </c>
      <c r="I1068" s="77">
        <f t="shared" si="123"/>
        <v>19535.260000000002</v>
      </c>
      <c r="J1068" s="62"/>
      <c r="K1068" s="28"/>
      <c r="L1068" s="155"/>
    </row>
    <row r="1069" spans="1:12" outlineLevel="1" x14ac:dyDescent="0.2">
      <c r="A1069" s="92" t="s">
        <v>713</v>
      </c>
      <c r="B1069" s="147">
        <v>43101</v>
      </c>
      <c r="C1069" s="148">
        <v>43465</v>
      </c>
      <c r="D1069" s="101">
        <v>5</v>
      </c>
      <c r="E1069" s="104"/>
      <c r="F1069" s="104">
        <v>1147.69</v>
      </c>
      <c r="G1069" s="22"/>
      <c r="H1069" s="87">
        <f t="shared" si="124"/>
        <v>1147.69</v>
      </c>
      <c r="I1069" s="77">
        <f t="shared" si="123"/>
        <v>1147.69</v>
      </c>
      <c r="J1069" s="62"/>
      <c r="K1069" s="28"/>
      <c r="L1069" s="155"/>
    </row>
    <row r="1070" spans="1:12" ht="24" outlineLevel="1" x14ac:dyDescent="0.2">
      <c r="A1070" s="92" t="s">
        <v>436</v>
      </c>
      <c r="B1070" s="147">
        <v>43070</v>
      </c>
      <c r="C1070" s="148">
        <v>43281</v>
      </c>
      <c r="D1070" s="101">
        <v>5</v>
      </c>
      <c r="E1070" s="104"/>
      <c r="F1070" s="104">
        <v>1361.67</v>
      </c>
      <c r="G1070" s="22"/>
      <c r="H1070" s="87">
        <f>F1070+E1070+G1070</f>
        <v>1361.67</v>
      </c>
      <c r="I1070" s="77">
        <f>H1070</f>
        <v>1361.67</v>
      </c>
      <c r="J1070" s="62"/>
      <c r="K1070" s="28"/>
      <c r="L1070" s="155"/>
    </row>
    <row r="1071" spans="1:12" ht="24" outlineLevel="1" x14ac:dyDescent="0.2">
      <c r="A1071" s="92" t="s">
        <v>195</v>
      </c>
      <c r="B1071" s="147">
        <v>42887</v>
      </c>
      <c r="C1071" s="148">
        <v>43404</v>
      </c>
      <c r="D1071" s="101">
        <v>15</v>
      </c>
      <c r="E1071" s="104">
        <v>17000</v>
      </c>
      <c r="F1071" s="104">
        <v>8835.35</v>
      </c>
      <c r="G1071" s="22"/>
      <c r="H1071" s="87">
        <f>F1071+E1071+G1071</f>
        <v>25835.35</v>
      </c>
      <c r="I1071" s="77">
        <f>H1071</f>
        <v>25835.35</v>
      </c>
      <c r="J1071" s="62"/>
      <c r="K1071" s="28"/>
      <c r="L1071" s="155"/>
    </row>
    <row r="1072" spans="1:12" ht="24" outlineLevel="1" x14ac:dyDescent="0.2">
      <c r="A1072" s="92" t="s">
        <v>196</v>
      </c>
      <c r="B1072" s="147">
        <v>42705</v>
      </c>
      <c r="C1072" s="148">
        <v>43496</v>
      </c>
      <c r="D1072" s="101">
        <v>15</v>
      </c>
      <c r="E1072" s="104">
        <v>18159.8</v>
      </c>
      <c r="F1072" s="104">
        <v>6369.83</v>
      </c>
      <c r="G1072" s="22"/>
      <c r="H1072" s="87">
        <f>F1072+E1072+G1072</f>
        <v>24529.629999999997</v>
      </c>
      <c r="I1072" s="77">
        <f>H1072</f>
        <v>24529.629999999997</v>
      </c>
      <c r="J1072" s="62"/>
      <c r="K1072" s="28"/>
      <c r="L1072" s="155"/>
    </row>
    <row r="1073" spans="1:12" ht="24" outlineLevel="1" x14ac:dyDescent="0.2">
      <c r="A1073" s="92" t="s">
        <v>197</v>
      </c>
      <c r="B1073" s="147">
        <v>42614</v>
      </c>
      <c r="C1073" s="148">
        <v>43373</v>
      </c>
      <c r="D1073" s="101">
        <v>20</v>
      </c>
      <c r="E1073" s="104">
        <v>120849.8</v>
      </c>
      <c r="F1073" s="104">
        <v>11894.44</v>
      </c>
      <c r="G1073" s="22"/>
      <c r="H1073" s="87">
        <f>F1073+E1073+G1073</f>
        <v>132744.24</v>
      </c>
      <c r="I1073" s="77">
        <f>H1073</f>
        <v>132744.24</v>
      </c>
      <c r="J1073" s="62"/>
      <c r="K1073" s="28"/>
      <c r="L1073" s="155"/>
    </row>
    <row r="1074" spans="1:12" ht="24" outlineLevel="1" x14ac:dyDescent="0.2">
      <c r="A1074" s="92" t="s">
        <v>198</v>
      </c>
      <c r="B1074" s="147">
        <v>42795</v>
      </c>
      <c r="C1074" s="148">
        <v>43373</v>
      </c>
      <c r="D1074" s="101">
        <v>5</v>
      </c>
      <c r="E1074" s="104"/>
      <c r="F1074" s="104">
        <v>1528.37</v>
      </c>
      <c r="G1074" s="22"/>
      <c r="H1074" s="87">
        <f>F1074+E1074+G1074</f>
        <v>1528.37</v>
      </c>
      <c r="I1074" s="77">
        <f>H1074</f>
        <v>1528.37</v>
      </c>
      <c r="J1074" s="62"/>
      <c r="K1074" s="28"/>
      <c r="L1074" s="155"/>
    </row>
    <row r="1075" spans="1:12" x14ac:dyDescent="0.2">
      <c r="A1075" s="91"/>
      <c r="B1075" s="147"/>
      <c r="C1075" s="147"/>
      <c r="D1075" s="96"/>
      <c r="E1075" s="100">
        <f>SUM(E980:E1074)</f>
        <v>883510.98000000021</v>
      </c>
      <c r="F1075" s="100">
        <f>SUM(F980:F1074)</f>
        <v>461929.93999999994</v>
      </c>
      <c r="G1075" s="100">
        <f>SUM(G980:G1074)</f>
        <v>0</v>
      </c>
      <c r="H1075" s="87">
        <f>SUM(H982:H1074)</f>
        <v>1345440.9199999995</v>
      </c>
      <c r="I1075" s="87">
        <f>SUM(I980:I1074)</f>
        <v>1345440.9199999995</v>
      </c>
      <c r="J1075" s="117"/>
      <c r="K1075" s="28"/>
      <c r="L1075" s="155"/>
    </row>
    <row r="1076" spans="1:12" x14ac:dyDescent="0.2">
      <c r="A1076" s="91"/>
      <c r="B1076" s="147"/>
      <c r="C1076" s="147"/>
      <c r="D1076" s="96"/>
      <c r="E1076" s="100"/>
      <c r="F1076" s="100"/>
      <c r="G1076" s="100"/>
      <c r="H1076" s="87"/>
      <c r="I1076" s="87"/>
      <c r="J1076" s="117"/>
      <c r="K1076" s="28"/>
      <c r="L1076" s="155"/>
    </row>
    <row r="1077" spans="1:12" ht="24" x14ac:dyDescent="0.2">
      <c r="A1077" s="66" t="s">
        <v>750</v>
      </c>
      <c r="B1077" s="147"/>
      <c r="C1077" s="148"/>
      <c r="D1077" s="101"/>
      <c r="E1077" s="104"/>
      <c r="F1077" s="104"/>
      <c r="G1077" s="22"/>
      <c r="H1077" s="52"/>
      <c r="I1077" s="77"/>
      <c r="J1077" s="22"/>
      <c r="K1077" s="28"/>
      <c r="L1077" s="155"/>
    </row>
    <row r="1078" spans="1:12" ht="24" outlineLevel="1" x14ac:dyDescent="0.2">
      <c r="A1078" s="89" t="s">
        <v>437</v>
      </c>
      <c r="B1078" s="148">
        <v>42887</v>
      </c>
      <c r="C1078" s="148">
        <v>43435</v>
      </c>
      <c r="D1078" s="101">
        <v>10</v>
      </c>
      <c r="E1078" s="104"/>
      <c r="F1078" s="104">
        <f>I1078</f>
        <v>10900</v>
      </c>
      <c r="G1078" s="22"/>
      <c r="H1078" s="52">
        <f>F1078</f>
        <v>10900</v>
      </c>
      <c r="I1078" s="77">
        <v>10900</v>
      </c>
      <c r="J1078" s="79"/>
      <c r="K1078" s="28"/>
      <c r="L1078" s="155"/>
    </row>
    <row r="1079" spans="1:12" ht="24" outlineLevel="1" x14ac:dyDescent="0.2">
      <c r="A1079" s="89" t="s">
        <v>438</v>
      </c>
      <c r="B1079" s="148">
        <v>43052</v>
      </c>
      <c r="C1079" s="147">
        <v>43417</v>
      </c>
      <c r="D1079" s="101">
        <v>10</v>
      </c>
      <c r="E1079" s="22"/>
      <c r="F1079" s="104">
        <f t="shared" ref="F1079:F1092" si="125">I1079</f>
        <v>3972</v>
      </c>
      <c r="G1079" s="22"/>
      <c r="H1079" s="52">
        <f t="shared" ref="H1079:H1091" si="126">F1079</f>
        <v>3972</v>
      </c>
      <c r="I1079" s="87">
        <v>3972</v>
      </c>
      <c r="J1079" s="62"/>
      <c r="K1079" s="28"/>
      <c r="L1079" s="155"/>
    </row>
    <row r="1080" spans="1:12" ht="24" outlineLevel="1" x14ac:dyDescent="0.2">
      <c r="A1080" s="89" t="s">
        <v>751</v>
      </c>
      <c r="B1080" s="149" t="s">
        <v>752</v>
      </c>
      <c r="C1080" s="149" t="s">
        <v>753</v>
      </c>
      <c r="D1080" s="101">
        <v>10</v>
      </c>
      <c r="E1080" s="22"/>
      <c r="F1080" s="104">
        <f t="shared" si="125"/>
        <v>44430</v>
      </c>
      <c r="G1080" s="22"/>
      <c r="H1080" s="52">
        <f t="shared" si="126"/>
        <v>44430</v>
      </c>
      <c r="I1080" s="87">
        <v>44430</v>
      </c>
      <c r="J1080" s="62"/>
      <c r="K1080" s="28"/>
      <c r="L1080" s="155"/>
    </row>
    <row r="1081" spans="1:12" outlineLevel="1" x14ac:dyDescent="0.2">
      <c r="A1081" s="89" t="s">
        <v>439</v>
      </c>
      <c r="B1081" s="149" t="s">
        <v>754</v>
      </c>
      <c r="C1081" s="149" t="s">
        <v>755</v>
      </c>
      <c r="D1081" s="101">
        <v>10</v>
      </c>
      <c r="E1081" s="22"/>
      <c r="F1081" s="104">
        <f t="shared" si="125"/>
        <v>2648</v>
      </c>
      <c r="G1081" s="22"/>
      <c r="H1081" s="52">
        <f t="shared" si="126"/>
        <v>2648</v>
      </c>
      <c r="I1081" s="87">
        <v>2648</v>
      </c>
      <c r="J1081" s="62"/>
      <c r="K1081" s="28"/>
      <c r="L1081" s="155"/>
    </row>
    <row r="1082" spans="1:12" outlineLevel="1" x14ac:dyDescent="0.2">
      <c r="A1082" s="89" t="s">
        <v>440</v>
      </c>
      <c r="B1082" s="149" t="s">
        <v>756</v>
      </c>
      <c r="C1082" s="149" t="s">
        <v>757</v>
      </c>
      <c r="D1082" s="101">
        <v>10</v>
      </c>
      <c r="E1082" s="22"/>
      <c r="F1082" s="104">
        <f t="shared" si="125"/>
        <v>10803</v>
      </c>
      <c r="G1082" s="22"/>
      <c r="H1082" s="52">
        <f t="shared" si="126"/>
        <v>10803</v>
      </c>
      <c r="I1082" s="87">
        <v>10803</v>
      </c>
      <c r="J1082" s="62"/>
      <c r="K1082" s="28"/>
      <c r="L1082" s="155"/>
    </row>
    <row r="1083" spans="1:12" outlineLevel="1" x14ac:dyDescent="0.2">
      <c r="A1083" s="89" t="s">
        <v>441</v>
      </c>
      <c r="B1083" s="149" t="s">
        <v>758</v>
      </c>
      <c r="C1083" s="149" t="s">
        <v>759</v>
      </c>
      <c r="D1083" s="101">
        <v>10</v>
      </c>
      <c r="E1083" s="22"/>
      <c r="F1083" s="104">
        <f t="shared" si="125"/>
        <v>17400</v>
      </c>
      <c r="G1083" s="22"/>
      <c r="H1083" s="52">
        <f t="shared" si="126"/>
        <v>17400</v>
      </c>
      <c r="I1083" s="87">
        <v>17400</v>
      </c>
      <c r="J1083" s="62"/>
      <c r="K1083" s="28"/>
      <c r="L1083" s="155"/>
    </row>
    <row r="1084" spans="1:12" ht="24" outlineLevel="1" x14ac:dyDescent="0.2">
      <c r="A1084" s="89" t="s">
        <v>442</v>
      </c>
      <c r="B1084" s="148">
        <v>42963</v>
      </c>
      <c r="C1084" s="147">
        <v>43512</v>
      </c>
      <c r="D1084" s="101">
        <v>10</v>
      </c>
      <c r="E1084" s="22"/>
      <c r="F1084" s="104">
        <f t="shared" si="125"/>
        <v>10803</v>
      </c>
      <c r="G1084" s="22"/>
      <c r="H1084" s="52">
        <f t="shared" si="126"/>
        <v>10803</v>
      </c>
      <c r="I1084" s="87">
        <v>10803</v>
      </c>
      <c r="J1084" s="62"/>
      <c r="K1084" s="28"/>
      <c r="L1084" s="155"/>
    </row>
    <row r="1085" spans="1:12" outlineLevel="1" x14ac:dyDescent="0.2">
      <c r="A1085" s="89" t="s">
        <v>443</v>
      </c>
      <c r="B1085" s="149" t="s">
        <v>760</v>
      </c>
      <c r="C1085" s="149" t="s">
        <v>761</v>
      </c>
      <c r="D1085" s="101">
        <v>10</v>
      </c>
      <c r="E1085" s="22"/>
      <c r="F1085" s="104">
        <f t="shared" si="125"/>
        <v>6540</v>
      </c>
      <c r="G1085" s="22"/>
      <c r="H1085" s="52">
        <f t="shared" si="126"/>
        <v>6540</v>
      </c>
      <c r="I1085" s="87">
        <v>6540</v>
      </c>
      <c r="J1085" s="62"/>
      <c r="K1085" s="28"/>
      <c r="L1085" s="155"/>
    </row>
    <row r="1086" spans="1:12" ht="24" outlineLevel="1" x14ac:dyDescent="0.2">
      <c r="A1086" s="89" t="s">
        <v>55</v>
      </c>
      <c r="B1086" s="148">
        <v>42321</v>
      </c>
      <c r="C1086" s="147">
        <v>43353</v>
      </c>
      <c r="D1086" s="101">
        <v>10</v>
      </c>
      <c r="E1086" s="22"/>
      <c r="F1086" s="104">
        <f t="shared" si="125"/>
        <v>11359.59</v>
      </c>
      <c r="G1086" s="22"/>
      <c r="H1086" s="52">
        <f t="shared" si="126"/>
        <v>11359.59</v>
      </c>
      <c r="I1086" s="87">
        <v>11359.59</v>
      </c>
      <c r="J1086" s="62"/>
      <c r="K1086" s="28"/>
      <c r="L1086" s="155"/>
    </row>
    <row r="1087" spans="1:12" outlineLevel="1" x14ac:dyDescent="0.2">
      <c r="A1087" s="89" t="s">
        <v>770</v>
      </c>
      <c r="B1087" s="149" t="s">
        <v>762</v>
      </c>
      <c r="C1087" s="149" t="s">
        <v>763</v>
      </c>
      <c r="D1087" s="101">
        <v>10</v>
      </c>
      <c r="E1087" s="22"/>
      <c r="F1087" s="104">
        <f t="shared" si="125"/>
        <v>3972</v>
      </c>
      <c r="G1087" s="22"/>
      <c r="H1087" s="52">
        <f t="shared" si="126"/>
        <v>3972</v>
      </c>
      <c r="I1087" s="87">
        <v>3972</v>
      </c>
      <c r="J1087" s="62"/>
      <c r="K1087" s="28"/>
      <c r="L1087" s="155"/>
    </row>
    <row r="1088" spans="1:12" ht="24" outlineLevel="1" x14ac:dyDescent="0.2">
      <c r="A1088" s="89" t="s">
        <v>444</v>
      </c>
      <c r="B1088" s="149" t="s">
        <v>410</v>
      </c>
      <c r="C1088" s="149">
        <v>28648.95</v>
      </c>
      <c r="D1088" s="101">
        <v>10</v>
      </c>
      <c r="E1088" s="22"/>
      <c r="F1088" s="104">
        <f t="shared" si="125"/>
        <v>13585</v>
      </c>
      <c r="G1088" s="22"/>
      <c r="H1088" s="52">
        <f t="shared" si="126"/>
        <v>13585</v>
      </c>
      <c r="I1088" s="87">
        <v>13585</v>
      </c>
      <c r="J1088" s="62"/>
      <c r="K1088" s="28"/>
      <c r="L1088" s="155"/>
    </row>
    <row r="1089" spans="1:12" ht="36" outlineLevel="1" x14ac:dyDescent="0.2">
      <c r="A1089" s="89" t="s">
        <v>445</v>
      </c>
      <c r="B1089" s="149" t="s">
        <v>414</v>
      </c>
      <c r="C1089" s="149" t="s">
        <v>764</v>
      </c>
      <c r="D1089" s="101">
        <v>10</v>
      </c>
      <c r="E1089" s="22"/>
      <c r="F1089" s="104">
        <f t="shared" si="125"/>
        <v>10803</v>
      </c>
      <c r="G1089" s="22"/>
      <c r="H1089" s="52">
        <f t="shared" si="126"/>
        <v>10803</v>
      </c>
      <c r="I1089" s="87">
        <v>10803</v>
      </c>
      <c r="J1089" s="62"/>
      <c r="K1089" s="28"/>
      <c r="L1089" s="155"/>
    </row>
    <row r="1090" spans="1:12" ht="24" outlineLevel="1" x14ac:dyDescent="0.2">
      <c r="A1090" s="89" t="s">
        <v>446</v>
      </c>
      <c r="B1090" s="149" t="s">
        <v>765</v>
      </c>
      <c r="C1090" s="149" t="s">
        <v>766</v>
      </c>
      <c r="D1090" s="101">
        <v>10</v>
      </c>
      <c r="E1090" s="22"/>
      <c r="F1090" s="104">
        <f t="shared" si="125"/>
        <v>4303</v>
      </c>
      <c r="G1090" s="22"/>
      <c r="H1090" s="52">
        <f t="shared" si="126"/>
        <v>4303</v>
      </c>
      <c r="I1090" s="87">
        <v>4303</v>
      </c>
      <c r="J1090" s="62"/>
      <c r="K1090" s="28"/>
      <c r="L1090" s="155"/>
    </row>
    <row r="1091" spans="1:12" ht="24" outlineLevel="1" x14ac:dyDescent="0.2">
      <c r="A1091" s="89" t="s">
        <v>447</v>
      </c>
      <c r="B1091" s="149" t="s">
        <v>767</v>
      </c>
      <c r="C1091" s="149" t="s">
        <v>768</v>
      </c>
      <c r="D1091" s="101">
        <v>10</v>
      </c>
      <c r="E1091" s="22"/>
      <c r="F1091" s="104">
        <f t="shared" si="125"/>
        <v>92021</v>
      </c>
      <c r="G1091" s="22"/>
      <c r="H1091" s="52">
        <f t="shared" si="126"/>
        <v>92021</v>
      </c>
      <c r="I1091" s="87">
        <v>92021</v>
      </c>
      <c r="J1091" s="62"/>
      <c r="K1091" s="28"/>
      <c r="L1091" s="155"/>
    </row>
    <row r="1092" spans="1:12" s="24" customFormat="1" outlineLevel="1" x14ac:dyDescent="0.2">
      <c r="A1092" s="89" t="s">
        <v>769</v>
      </c>
      <c r="B1092" s="148">
        <v>42185</v>
      </c>
      <c r="C1092" s="147">
        <v>43465</v>
      </c>
      <c r="D1092" s="96">
        <v>90</v>
      </c>
      <c r="E1092" s="22"/>
      <c r="F1092" s="104">
        <f t="shared" si="125"/>
        <v>8854.2999999999993</v>
      </c>
      <c r="G1092" s="22"/>
      <c r="H1092" s="87">
        <f>F1092</f>
        <v>8854.2999999999993</v>
      </c>
      <c r="I1092" s="87">
        <v>8854.2999999999993</v>
      </c>
      <c r="J1092" s="79"/>
      <c r="K1092" s="110"/>
      <c r="L1092" s="155"/>
    </row>
    <row r="1093" spans="1:12" x14ac:dyDescent="0.2">
      <c r="A1093" s="138"/>
      <c r="B1093" s="148"/>
      <c r="C1093" s="147"/>
      <c r="D1093" s="96"/>
      <c r="E1093" s="100">
        <f>SUM(E1077:E1092)</f>
        <v>0</v>
      </c>
      <c r="F1093" s="100">
        <f>SUM(F1077:F1092)</f>
        <v>252393.88999999998</v>
      </c>
      <c r="G1093" s="100">
        <f>SUM(G1077:G1092)</f>
        <v>0</v>
      </c>
      <c r="H1093" s="87">
        <f>SUM(H1077:H1092)</f>
        <v>252393.88999999998</v>
      </c>
      <c r="I1093" s="87">
        <f>SUM(I1077:I1092)</f>
        <v>252393.88999999998</v>
      </c>
      <c r="J1093" s="117"/>
      <c r="K1093" s="28"/>
      <c r="L1093" s="155"/>
    </row>
    <row r="1094" spans="1:12" ht="24" x14ac:dyDescent="0.2">
      <c r="A1094" s="32" t="s">
        <v>1085</v>
      </c>
      <c r="B1094" s="147"/>
      <c r="C1094" s="147"/>
      <c r="D1094" s="96"/>
      <c r="E1094" s="22"/>
      <c r="F1094" s="22"/>
      <c r="G1094" s="22"/>
      <c r="H1094" s="87"/>
      <c r="I1094" s="87"/>
      <c r="J1094" s="119"/>
      <c r="K1094" s="28"/>
      <c r="L1094" s="155"/>
    </row>
    <row r="1095" spans="1:12" ht="24" outlineLevel="1" x14ac:dyDescent="0.2">
      <c r="A1095" s="35" t="s">
        <v>1122</v>
      </c>
      <c r="B1095" s="148">
        <v>42578</v>
      </c>
      <c r="C1095" s="147">
        <v>43281</v>
      </c>
      <c r="D1095" s="96">
        <v>90</v>
      </c>
      <c r="E1095" s="22">
        <v>70000</v>
      </c>
      <c r="F1095" s="22">
        <v>113513.3</v>
      </c>
      <c r="G1095" s="22"/>
      <c r="H1095" s="87">
        <f>F1095+E1095+G1095</f>
        <v>183513.3</v>
      </c>
      <c r="I1095" s="77">
        <f>H1095</f>
        <v>183513.3</v>
      </c>
      <c r="J1095" s="62"/>
      <c r="K1095" s="62"/>
      <c r="L1095" s="155"/>
    </row>
    <row r="1096" spans="1:12" ht="24" outlineLevel="1" x14ac:dyDescent="0.2">
      <c r="A1096" s="35" t="s">
        <v>1123</v>
      </c>
      <c r="B1096" s="148">
        <v>42674</v>
      </c>
      <c r="C1096" s="147">
        <v>43465</v>
      </c>
      <c r="D1096" s="96">
        <v>20</v>
      </c>
      <c r="E1096" s="22">
        <v>43496.76</v>
      </c>
      <c r="F1096" s="22"/>
      <c r="G1096" s="22"/>
      <c r="H1096" s="87">
        <f>F1096+E1096+G1096</f>
        <v>43496.76</v>
      </c>
      <c r="I1096" s="77">
        <f>H1096</f>
        <v>43496.76</v>
      </c>
      <c r="J1096" s="62"/>
      <c r="K1096" s="62"/>
      <c r="L1096" s="155"/>
    </row>
    <row r="1097" spans="1:12" x14ac:dyDescent="0.2">
      <c r="A1097" s="91"/>
      <c r="B1097" s="147"/>
      <c r="C1097" s="147"/>
      <c r="D1097" s="96"/>
      <c r="E1097" s="100">
        <f>SUM(E1094:E1096)</f>
        <v>113496.76000000001</v>
      </c>
      <c r="F1097" s="100">
        <f>SUM(F1094:F1096)</f>
        <v>113513.3</v>
      </c>
      <c r="G1097" s="100">
        <f>SUM(G1094:G1096)</f>
        <v>0</v>
      </c>
      <c r="H1097" s="87">
        <f>SUM(H1095:H1096)</f>
        <v>227010.06</v>
      </c>
      <c r="I1097" s="87">
        <f>SUM(I1094:I1096)</f>
        <v>227010.06</v>
      </c>
      <c r="J1097" s="117"/>
      <c r="K1097" s="64"/>
      <c r="L1097" s="155"/>
    </row>
    <row r="1098" spans="1:12" x14ac:dyDescent="0.2">
      <c r="A1098" s="29"/>
      <c r="B1098" s="147"/>
      <c r="C1098" s="147"/>
      <c r="D1098" s="96"/>
      <c r="E1098" s="22"/>
      <c r="F1098" s="22"/>
      <c r="G1098" s="22"/>
      <c r="H1098" s="87"/>
      <c r="I1098" s="87"/>
      <c r="J1098" s="119"/>
      <c r="K1098" s="28"/>
      <c r="L1098" s="155"/>
    </row>
    <row r="1099" spans="1:12" ht="27" customHeight="1" x14ac:dyDescent="0.2">
      <c r="A1099" s="66" t="s">
        <v>716</v>
      </c>
      <c r="B1099" s="147"/>
      <c r="C1099" s="148"/>
      <c r="D1099" s="101"/>
      <c r="E1099" s="104"/>
      <c r="F1099" s="104"/>
      <c r="G1099" s="22"/>
      <c r="H1099" s="52"/>
      <c r="I1099" s="77"/>
      <c r="J1099" s="22"/>
      <c r="K1099" s="65"/>
      <c r="L1099" s="155"/>
    </row>
    <row r="1100" spans="1:12" outlineLevel="1" x14ac:dyDescent="0.2">
      <c r="A1100" s="67" t="s">
        <v>717</v>
      </c>
      <c r="B1100" s="147">
        <v>43174</v>
      </c>
      <c r="C1100" s="148">
        <v>43251</v>
      </c>
      <c r="D1100" s="101">
        <v>99</v>
      </c>
      <c r="E1100" s="104">
        <v>3030.74</v>
      </c>
      <c r="F1100" s="104">
        <v>0</v>
      </c>
      <c r="G1100" s="22">
        <v>0</v>
      </c>
      <c r="H1100" s="52">
        <v>3030.74</v>
      </c>
      <c r="I1100" s="77">
        <v>3030.74</v>
      </c>
      <c r="J1100" s="22"/>
      <c r="K1100" s="65"/>
      <c r="L1100" s="155"/>
    </row>
    <row r="1101" spans="1:12" ht="24" outlineLevel="1" x14ac:dyDescent="0.2">
      <c r="A1101" s="67" t="s">
        <v>718</v>
      </c>
      <c r="B1101" s="147">
        <v>43151</v>
      </c>
      <c r="C1101" s="148">
        <v>43220</v>
      </c>
      <c r="D1101" s="101">
        <v>99</v>
      </c>
      <c r="E1101" s="104">
        <v>22134.53</v>
      </c>
      <c r="F1101" s="104">
        <v>0</v>
      </c>
      <c r="G1101" s="22">
        <v>0</v>
      </c>
      <c r="H1101" s="52">
        <v>22134.53</v>
      </c>
      <c r="I1101" s="77">
        <v>22134.53</v>
      </c>
      <c r="J1101" s="22"/>
      <c r="K1101" s="65"/>
      <c r="L1101" s="155"/>
    </row>
    <row r="1102" spans="1:12" ht="24" outlineLevel="1" x14ac:dyDescent="0.2">
      <c r="A1102" s="67" t="s">
        <v>719</v>
      </c>
      <c r="B1102" s="147">
        <v>43081</v>
      </c>
      <c r="C1102" s="148">
        <v>43251</v>
      </c>
      <c r="D1102" s="101">
        <v>99</v>
      </c>
      <c r="E1102" s="104">
        <v>2389.83</v>
      </c>
      <c r="F1102" s="104">
        <v>0</v>
      </c>
      <c r="G1102" s="22">
        <v>0</v>
      </c>
      <c r="H1102" s="52">
        <v>2389.83</v>
      </c>
      <c r="I1102" s="77">
        <v>2389.83</v>
      </c>
      <c r="J1102" s="22"/>
      <c r="K1102" s="65"/>
      <c r="L1102" s="155"/>
    </row>
    <row r="1103" spans="1:12" outlineLevel="1" x14ac:dyDescent="0.2">
      <c r="A1103" s="67" t="s">
        <v>720</v>
      </c>
      <c r="B1103" s="147">
        <v>43147</v>
      </c>
      <c r="C1103" s="148">
        <v>43220</v>
      </c>
      <c r="D1103" s="101">
        <v>99</v>
      </c>
      <c r="E1103" s="104">
        <v>14580.07</v>
      </c>
      <c r="F1103" s="104">
        <v>0</v>
      </c>
      <c r="G1103" s="22">
        <v>0</v>
      </c>
      <c r="H1103" s="52">
        <v>14580.07</v>
      </c>
      <c r="I1103" s="77">
        <v>14580.07</v>
      </c>
      <c r="J1103" s="22"/>
      <c r="K1103" s="65"/>
      <c r="L1103" s="155"/>
    </row>
    <row r="1104" spans="1:12" ht="24" outlineLevel="1" x14ac:dyDescent="0.2">
      <c r="A1104" s="67" t="s">
        <v>721</v>
      </c>
      <c r="B1104" s="147">
        <v>43095</v>
      </c>
      <c r="C1104" s="148">
        <v>43281</v>
      </c>
      <c r="D1104" s="101">
        <v>50</v>
      </c>
      <c r="E1104" s="104">
        <v>28441</v>
      </c>
      <c r="F1104" s="104">
        <v>0</v>
      </c>
      <c r="G1104" s="22">
        <v>0</v>
      </c>
      <c r="H1104" s="52">
        <v>28441</v>
      </c>
      <c r="I1104" s="77">
        <v>28441</v>
      </c>
      <c r="J1104" s="22"/>
      <c r="K1104" s="65"/>
      <c r="L1104" s="155"/>
    </row>
    <row r="1105" spans="1:12" ht="24" outlineLevel="1" x14ac:dyDescent="0.2">
      <c r="A1105" s="67" t="s">
        <v>722</v>
      </c>
      <c r="B1105" s="147">
        <v>43040</v>
      </c>
      <c r="C1105" s="148">
        <v>43251</v>
      </c>
      <c r="D1105" s="101">
        <v>90</v>
      </c>
      <c r="E1105" s="104">
        <v>202040.83</v>
      </c>
      <c r="F1105" s="104">
        <v>12000</v>
      </c>
      <c r="G1105" s="22">
        <v>0</v>
      </c>
      <c r="H1105" s="52">
        <v>214040.83</v>
      </c>
      <c r="I1105" s="77">
        <v>214040.83</v>
      </c>
      <c r="J1105" s="22"/>
      <c r="K1105" s="65"/>
      <c r="L1105" s="155"/>
    </row>
    <row r="1106" spans="1:12" ht="24" outlineLevel="1" x14ac:dyDescent="0.2">
      <c r="A1106" s="67" t="s">
        <v>723</v>
      </c>
      <c r="B1106" s="147">
        <v>43095</v>
      </c>
      <c r="C1106" s="148">
        <v>43281</v>
      </c>
      <c r="D1106" s="101">
        <v>99</v>
      </c>
      <c r="E1106" s="104">
        <v>19819</v>
      </c>
      <c r="F1106" s="104">
        <v>0</v>
      </c>
      <c r="G1106" s="22">
        <v>0</v>
      </c>
      <c r="H1106" s="52">
        <v>19819</v>
      </c>
      <c r="I1106" s="77">
        <v>19819</v>
      </c>
      <c r="J1106" s="22"/>
      <c r="K1106" s="65"/>
      <c r="L1106" s="155"/>
    </row>
    <row r="1107" spans="1:12" x14ac:dyDescent="0.2">
      <c r="A1107" s="91"/>
      <c r="B1107" s="147"/>
      <c r="C1107" s="147"/>
      <c r="D1107" s="96"/>
      <c r="E1107" s="100">
        <f>SUM(E1098:E1106)</f>
        <v>292436</v>
      </c>
      <c r="F1107" s="100">
        <f>SUM(F1098:F1106)</f>
        <v>12000</v>
      </c>
      <c r="G1107" s="100">
        <f>SUM(G1098:G1106)</f>
        <v>0</v>
      </c>
      <c r="H1107" s="87">
        <f>SUM(H1098:H1106)</f>
        <v>304436</v>
      </c>
      <c r="I1107" s="87">
        <f>SUM(I1098:I1106)</f>
        <v>304436</v>
      </c>
      <c r="J1107" s="117"/>
      <c r="K1107" s="64"/>
      <c r="L1107" s="155"/>
    </row>
    <row r="1108" spans="1:12" ht="24" x14ac:dyDescent="0.2">
      <c r="A1108" s="66" t="s">
        <v>725</v>
      </c>
      <c r="B1108" s="147"/>
      <c r="C1108" s="147"/>
      <c r="D1108" s="96"/>
      <c r="E1108" s="22"/>
      <c r="F1108" s="22"/>
      <c r="G1108" s="22"/>
      <c r="H1108" s="87"/>
      <c r="I1108" s="87"/>
      <c r="J1108" s="119"/>
      <c r="K1108" s="28"/>
      <c r="L1108" s="155"/>
    </row>
    <row r="1109" spans="1:12" x14ac:dyDescent="0.2">
      <c r="A1109" s="66"/>
      <c r="B1109" s="147"/>
      <c r="C1109" s="147"/>
      <c r="D1109" s="96"/>
      <c r="E1109" s="22"/>
      <c r="F1109" s="22"/>
      <c r="G1109" s="22"/>
      <c r="H1109" s="87"/>
      <c r="I1109" s="87"/>
      <c r="J1109" s="119"/>
      <c r="K1109" s="28"/>
      <c r="L1109" s="155"/>
    </row>
    <row r="1110" spans="1:12" ht="24" outlineLevel="1" x14ac:dyDescent="0.2">
      <c r="A1110" s="133" t="s">
        <v>1124</v>
      </c>
      <c r="B1110" s="147">
        <v>43164</v>
      </c>
      <c r="C1110" s="147">
        <v>43465</v>
      </c>
      <c r="D1110" s="96"/>
      <c r="E1110" s="22">
        <v>20000</v>
      </c>
      <c r="F1110" s="22"/>
      <c r="G1110" s="22"/>
      <c r="H1110" s="87">
        <f>D1110+E1110+F1110</f>
        <v>20000</v>
      </c>
      <c r="I1110" s="87">
        <f>H1110</f>
        <v>20000</v>
      </c>
      <c r="J1110" s="72"/>
      <c r="K1110" s="72"/>
      <c r="L1110" s="155"/>
    </row>
    <row r="1111" spans="1:12" ht="24" outlineLevel="1" x14ac:dyDescent="0.2">
      <c r="A1111" s="29" t="s">
        <v>201</v>
      </c>
      <c r="B1111" s="147">
        <v>42690</v>
      </c>
      <c r="C1111" s="147">
        <v>43348</v>
      </c>
      <c r="D1111" s="96">
        <v>10</v>
      </c>
      <c r="E1111" s="22"/>
      <c r="F1111" s="22">
        <v>25438</v>
      </c>
      <c r="G1111" s="22"/>
      <c r="H1111" s="87">
        <v>25438</v>
      </c>
      <c r="I1111" s="87">
        <v>25438</v>
      </c>
      <c r="J1111" s="72"/>
      <c r="K1111" s="72"/>
      <c r="L1111" s="155"/>
    </row>
    <row r="1112" spans="1:12" ht="24" outlineLevel="1" x14ac:dyDescent="0.2">
      <c r="A1112" s="29" t="s">
        <v>201</v>
      </c>
      <c r="B1112" s="147">
        <v>42696</v>
      </c>
      <c r="C1112" s="147">
        <v>43465</v>
      </c>
      <c r="D1112" s="96">
        <v>10</v>
      </c>
      <c r="E1112" s="22"/>
      <c r="F1112" s="22">
        <v>24622</v>
      </c>
      <c r="G1112" s="22"/>
      <c r="H1112" s="87">
        <v>24622</v>
      </c>
      <c r="I1112" s="87">
        <v>24622</v>
      </c>
      <c r="J1112" s="72"/>
      <c r="K1112" s="72"/>
      <c r="L1112" s="155"/>
    </row>
    <row r="1113" spans="1:12" ht="24" outlineLevel="1" x14ac:dyDescent="0.2">
      <c r="A1113" s="29" t="s">
        <v>724</v>
      </c>
      <c r="B1113" s="147">
        <v>42888</v>
      </c>
      <c r="C1113" s="147">
        <v>43465</v>
      </c>
      <c r="D1113" s="96">
        <v>50</v>
      </c>
      <c r="E1113" s="22">
        <v>83777.600000000006</v>
      </c>
      <c r="F1113" s="22">
        <v>15305.69</v>
      </c>
      <c r="G1113" s="22"/>
      <c r="H1113" s="87">
        <v>99083.29</v>
      </c>
      <c r="I1113" s="87">
        <v>99083.29</v>
      </c>
      <c r="J1113" s="72"/>
      <c r="K1113" s="72"/>
      <c r="L1113" s="155"/>
    </row>
    <row r="1114" spans="1:12" ht="24" outlineLevel="1" x14ac:dyDescent="0.2">
      <c r="A1114" s="29" t="s">
        <v>724</v>
      </c>
      <c r="B1114" s="147">
        <v>42888</v>
      </c>
      <c r="C1114" s="147">
        <v>43465</v>
      </c>
      <c r="D1114" s="96">
        <v>50</v>
      </c>
      <c r="E1114" s="22">
        <v>188760.92</v>
      </c>
      <c r="F1114" s="22">
        <v>20599.22</v>
      </c>
      <c r="G1114" s="22"/>
      <c r="H1114" s="87">
        <v>209360.14</v>
      </c>
      <c r="I1114" s="87">
        <v>209360.14</v>
      </c>
      <c r="J1114" s="72"/>
      <c r="K1114" s="72"/>
      <c r="L1114" s="155"/>
    </row>
    <row r="1115" spans="1:12" ht="24" outlineLevel="1" x14ac:dyDescent="0.2">
      <c r="A1115" s="29" t="s">
        <v>724</v>
      </c>
      <c r="B1115" s="147">
        <v>42888</v>
      </c>
      <c r="C1115" s="147">
        <v>43465</v>
      </c>
      <c r="D1115" s="96">
        <v>50</v>
      </c>
      <c r="E1115" s="22">
        <v>11658.11</v>
      </c>
      <c r="F1115" s="22">
        <v>7537</v>
      </c>
      <c r="G1115" s="22"/>
      <c r="H1115" s="87">
        <v>19195.11</v>
      </c>
      <c r="I1115" s="87">
        <v>19195.11</v>
      </c>
      <c r="J1115" s="72"/>
      <c r="K1115" s="72"/>
      <c r="L1115" s="155"/>
    </row>
    <row r="1116" spans="1:12" ht="24" outlineLevel="1" x14ac:dyDescent="0.2">
      <c r="A1116" s="29" t="s">
        <v>200</v>
      </c>
      <c r="B1116" s="147">
        <v>42356</v>
      </c>
      <c r="C1116" s="147">
        <v>43465</v>
      </c>
      <c r="D1116" s="96">
        <v>10</v>
      </c>
      <c r="E1116" s="22">
        <v>2140.58</v>
      </c>
      <c r="F1116" s="22">
        <v>35448</v>
      </c>
      <c r="G1116" s="22"/>
      <c r="H1116" s="87">
        <v>37588.58</v>
      </c>
      <c r="I1116" s="87">
        <v>37588.58</v>
      </c>
      <c r="J1116" s="72"/>
      <c r="K1116" s="72"/>
      <c r="L1116" s="155"/>
    </row>
    <row r="1117" spans="1:12" ht="24" outlineLevel="1" x14ac:dyDescent="0.2">
      <c r="A1117" s="29" t="s">
        <v>199</v>
      </c>
      <c r="B1117" s="147">
        <v>42356</v>
      </c>
      <c r="C1117" s="147">
        <v>43343</v>
      </c>
      <c r="D1117" s="96">
        <v>10</v>
      </c>
      <c r="E1117" s="22"/>
      <c r="F1117" s="22">
        <v>46568</v>
      </c>
      <c r="G1117" s="22"/>
      <c r="H1117" s="87">
        <v>46568</v>
      </c>
      <c r="I1117" s="87">
        <v>46568</v>
      </c>
      <c r="J1117" s="72"/>
      <c r="K1117" s="72"/>
      <c r="L1117" s="155"/>
    </row>
    <row r="1118" spans="1:12" x14ac:dyDescent="0.2">
      <c r="A1118" s="91"/>
      <c r="B1118" s="147"/>
      <c r="C1118" s="147"/>
      <c r="D1118" s="96"/>
      <c r="E1118" s="100">
        <f>SUM(E1110:E1117)</f>
        <v>306337.21000000002</v>
      </c>
      <c r="F1118" s="100">
        <f>SUM(F1110:F1117)</f>
        <v>175517.91</v>
      </c>
      <c r="G1118" s="100">
        <f>SUM(G1110:G1117)</f>
        <v>0</v>
      </c>
      <c r="H1118" s="87">
        <f>SUM(H1110:H1117)</f>
        <v>481855.12</v>
      </c>
      <c r="I1118" s="87">
        <f>SUM(I1110:I1117)</f>
        <v>481855.12</v>
      </c>
      <c r="J1118" s="117"/>
      <c r="K1118" s="64"/>
      <c r="L1118" s="155"/>
    </row>
    <row r="1119" spans="1:12" x14ac:dyDescent="0.2">
      <c r="A1119" s="29"/>
      <c r="B1119" s="147"/>
      <c r="C1119" s="147"/>
      <c r="D1119" s="96"/>
      <c r="E1119" s="22"/>
      <c r="F1119" s="22"/>
      <c r="G1119" s="22"/>
      <c r="H1119" s="87"/>
      <c r="I1119" s="87"/>
      <c r="J1119" s="119"/>
      <c r="K1119" s="28"/>
      <c r="L1119" s="155"/>
    </row>
    <row r="1120" spans="1:12" x14ac:dyDescent="0.2">
      <c r="A1120" s="38" t="s">
        <v>457</v>
      </c>
      <c r="B1120" s="147"/>
      <c r="C1120" s="147"/>
      <c r="D1120" s="101"/>
      <c r="E1120" s="105">
        <f>E32+E52+E156+E196+E290+E404+E436+E445+E455+E473+E480+E544+E558+E567+E617+E964+E971+E979+E1075+E1093+E1097+E1107+E1118</f>
        <v>454867445.82999992</v>
      </c>
      <c r="F1120" s="105">
        <f>F32+F52+F156+F196+F290+F404+F436+F445+F455+F473+F480+F544+F558+F567+F617+F964+F971+F979+F1075+F1093+F1097+F1107+F1118</f>
        <v>801713019.84399998</v>
      </c>
      <c r="G1120" s="105">
        <f>G32+G52+G156+G196+G290+G404+G436+G445+G455+G473+G480+G544+G558+G567+G617+G964+G971+G979+G1075+G1093+G1097+G1107+G1118</f>
        <v>163080185.19</v>
      </c>
      <c r="H1120" s="87">
        <f>H32+H52+H156+H196+H290+H404+H436+H445+H455+H473+H480+H544+H558+H567+H617+H964+H971+H979+H1075+H1093+H1097+H1107+H1118</f>
        <v>1419660650.8639998</v>
      </c>
      <c r="I1120" s="87">
        <f>I32+I52+I156+I196+I290+I404+I436+I445+I455+I473+I480+I544+I558+I567+I617+I964+I971+I979+I1075+I1093+I1097+I1107+I1118</f>
        <v>1419660650.8639998</v>
      </c>
      <c r="J1120" s="119"/>
      <c r="K1120" s="28"/>
      <c r="L1120" s="155"/>
    </row>
    <row r="1123" spans="1:10" x14ac:dyDescent="0.2">
      <c r="A1123" s="51" t="s">
        <v>492</v>
      </c>
      <c r="J1123" s="142"/>
    </row>
    <row r="1124" spans="1:10" x14ac:dyDescent="0.2">
      <c r="A1124" s="51"/>
      <c r="J1124" s="142"/>
    </row>
    <row r="1125" spans="1:10" x14ac:dyDescent="0.2">
      <c r="A1125" s="51" t="s">
        <v>493</v>
      </c>
      <c r="C1125" s="150" t="s">
        <v>494</v>
      </c>
      <c r="G1125" s="140" t="s">
        <v>495</v>
      </c>
      <c r="J1125" s="142"/>
    </row>
    <row r="1126" spans="1:10" x14ac:dyDescent="0.2">
      <c r="A1126" s="51"/>
      <c r="J1126" s="142"/>
    </row>
    <row r="1127" spans="1:10" x14ac:dyDescent="0.2">
      <c r="A1127" s="51" t="s">
        <v>496</v>
      </c>
      <c r="F1127" s="140" t="s">
        <v>497</v>
      </c>
      <c r="J1127" s="142"/>
    </row>
    <row r="1128" spans="1:10" x14ac:dyDescent="0.2">
      <c r="A1128" s="51"/>
      <c r="J1128" s="142"/>
    </row>
    <row r="1129" spans="1:10" ht="24" x14ac:dyDescent="0.2">
      <c r="A1129" s="51" t="s">
        <v>498</v>
      </c>
      <c r="C1129" s="150" t="s">
        <v>494</v>
      </c>
      <c r="G1129" s="140" t="s">
        <v>499</v>
      </c>
      <c r="J1129" s="142"/>
    </row>
    <row r="1130" spans="1:10" x14ac:dyDescent="0.2">
      <c r="A1130" s="51"/>
      <c r="J1130" s="142"/>
    </row>
    <row r="1131" spans="1:10" x14ac:dyDescent="0.2">
      <c r="A1131" s="51" t="s">
        <v>500</v>
      </c>
      <c r="C1131" s="150" t="s">
        <v>494</v>
      </c>
      <c r="G1131" s="140" t="s">
        <v>501</v>
      </c>
      <c r="J1131" s="142"/>
    </row>
    <row r="1132" spans="1:10" x14ac:dyDescent="0.2">
      <c r="A1132" s="51"/>
      <c r="J1132" s="142"/>
    </row>
    <row r="1133" spans="1:10" x14ac:dyDescent="0.2">
      <c r="A1133" s="51"/>
      <c r="J1133" s="142"/>
    </row>
    <row r="1134" spans="1:10" x14ac:dyDescent="0.2">
      <c r="A1134" s="51" t="s">
        <v>502</v>
      </c>
      <c r="C1134" s="150" t="s">
        <v>494</v>
      </c>
      <c r="G1134" s="140" t="s">
        <v>503</v>
      </c>
      <c r="J1134" s="142"/>
    </row>
  </sheetData>
  <sheetProtection selectLockedCells="1" selectUnlockedCells="1"/>
  <mergeCells count="1">
    <mergeCell ref="A1:K6"/>
  </mergeCells>
  <phoneticPr fontId="0" type="noConversion"/>
  <conditionalFormatting sqref="A448">
    <cfRule type="duplicateValues" dxfId="4" priority="5" stopIfTrue="1"/>
  </conditionalFormatting>
  <conditionalFormatting sqref="A604">
    <cfRule type="duplicateValues" dxfId="3" priority="3" stopIfTrue="1"/>
  </conditionalFormatting>
  <conditionalFormatting sqref="F448">
    <cfRule type="duplicateValues" dxfId="2" priority="6" stopIfTrue="1"/>
  </conditionalFormatting>
  <conditionalFormatting sqref="F604">
    <cfRule type="duplicateValues" dxfId="1" priority="7" stopIfTrue="1"/>
  </conditionalFormatting>
  <conditionalFormatting sqref="F449">
    <cfRule type="duplicateValues" dxfId="0" priority="8" stopIfTrue="1"/>
  </conditionalFormatting>
  <pageMargins left="3.937007874015748E-2" right="3.937007874015748E-2" top="0.27559055118110237" bottom="0.19685039370078741" header="0.31496062992125984" footer="0.31496062992125984"/>
  <pageSetup paperSize="9" scale="62" firstPageNumber="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Щусь Мария Владимировна</cp:lastModifiedBy>
  <cp:lastPrinted>2018-04-26T11:10:52Z</cp:lastPrinted>
  <dcterms:created xsi:type="dcterms:W3CDTF">2012-02-13T09:39:08Z</dcterms:created>
  <dcterms:modified xsi:type="dcterms:W3CDTF">2018-04-26T11:16:38Z</dcterms:modified>
</cp:coreProperties>
</file>